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xwhite\Desktop\"/>
    </mc:Choice>
  </mc:AlternateContent>
  <xr:revisionPtr revIDLastSave="0" documentId="13_ncr:1_{EA2C0C5D-976A-4DDB-A5D8-616D4667DEE4}" xr6:coauthVersionLast="36" xr6:coauthVersionMax="45" xr10:uidLastSave="{00000000-0000-0000-0000-000000000000}"/>
  <bookViews>
    <workbookView xWindow="0" yWindow="-110" windowWidth="10840" windowHeight="6540" tabRatio="897" activeTab="8" xr2:uid="{00000000-000D-0000-FFFF-FFFF00000000}"/>
  </bookViews>
  <sheets>
    <sheet name="Quarterly Cash Flow - Example" sheetId="16" r:id="rId1"/>
    <sheet name="Quarterly Cash Flow - Blank" sheetId="18" r:id="rId2"/>
    <sheet name="Monthly Cash Flow - Blank" sheetId="17" r:id="rId3"/>
    <sheet name="Cash to Accrual" sheetId="21" r:id="rId4"/>
    <sheet name="Ratio Calculator" sheetId="22" r:id="rId5"/>
    <sheet name="Blank Monthly Budget Builder" sheetId="8" r:id="rId6"/>
    <sheet name="Expense Tracker" sheetId="20" r:id="rId7"/>
    <sheet name="Retirement Planning Worksheet" sheetId="7" r:id="rId8"/>
    <sheet name="Types of Accounts" sheetId="2" r:id="rId9"/>
    <sheet name="Asset Allocation Worksheet" sheetId="11" r:id="rId10"/>
    <sheet name="Retirement Planning Wks - blank" sheetId="19" state="hidden" r:id="rId11"/>
  </sheets>
  <definedNames>
    <definedName name="_xlnm.Print_Area" localSheetId="9">'Asset Allocation Worksheet'!$A$1:$F$36</definedName>
    <definedName name="_xlnm.Print_Area" localSheetId="5">'Blank Monthly Budget Builder'!$A$1:$J$93</definedName>
    <definedName name="_xlnm.Print_Area" localSheetId="6">'Expense Tracker'!$A$1:$D$7</definedName>
    <definedName name="_xlnm.Print_Area" localSheetId="2">'Monthly Cash Flow - Blank'!$A$1:$AB$69</definedName>
    <definedName name="_xlnm.Print_Area" localSheetId="1">'Quarterly Cash Flow - Blank'!$A$1:$L$69</definedName>
    <definedName name="_xlnm.Print_Area" localSheetId="0">'Quarterly Cash Flow - Example'!$A$1:$L$69</definedName>
    <definedName name="_xlnm.Print_Area" localSheetId="10">'Retirement Planning Wks - blank'!$A$1:$J$70</definedName>
    <definedName name="_xlnm.Print_Area" localSheetId="7">'Retirement Planning Worksheet'!$A$1:$J$70</definedName>
    <definedName name="_xlnm.Print_Area" localSheetId="8">'Types of Accounts'!$A$1:$J$15</definedName>
  </definedNames>
  <calcPr calcId="191029"/>
</workbook>
</file>

<file path=xl/calcChain.xml><?xml version="1.0" encoding="utf-8"?>
<calcChain xmlns="http://schemas.openxmlformats.org/spreadsheetml/2006/main">
  <c r="D7" i="8" l="1"/>
  <c r="H17" i="22" l="1"/>
  <c r="G17" i="22"/>
  <c r="H16" i="22"/>
  <c r="G16" i="22"/>
  <c r="C16" i="22"/>
  <c r="H14" i="22" s="1"/>
  <c r="B16" i="22"/>
  <c r="G14" i="22" s="1"/>
  <c r="G9" i="22"/>
  <c r="C9" i="22"/>
  <c r="H9" i="22" s="1"/>
  <c r="B9" i="22"/>
  <c r="H7" i="22"/>
  <c r="G7" i="22"/>
  <c r="H6" i="22"/>
  <c r="G6" i="22"/>
  <c r="B17" i="22" l="1"/>
  <c r="C17" i="22"/>
  <c r="H11" i="22" l="1"/>
  <c r="H12" i="22"/>
  <c r="G11" i="22"/>
  <c r="G12" i="22"/>
  <c r="G35" i="21"/>
  <c r="G34" i="21"/>
  <c r="G33" i="21"/>
  <c r="G32" i="21"/>
  <c r="G29" i="21"/>
  <c r="G28" i="21"/>
  <c r="G27" i="21"/>
  <c r="G26" i="21"/>
  <c r="G25" i="21"/>
  <c r="G21" i="21"/>
  <c r="G14" i="21"/>
  <c r="G13" i="21"/>
  <c r="G12" i="21"/>
  <c r="G6" i="21"/>
  <c r="G5" i="21"/>
  <c r="G41" i="21" s="1"/>
  <c r="G36" i="21" l="1"/>
  <c r="G16" i="21"/>
  <c r="A62" i="19"/>
  <c r="I62" i="19" s="1"/>
  <c r="A57" i="19"/>
  <c r="I59" i="19" s="1"/>
  <c r="A56" i="19"/>
  <c r="G56" i="19" s="1"/>
  <c r="G45" i="19"/>
  <c r="G39" i="19"/>
  <c r="G27" i="19"/>
  <c r="G30" i="19" s="1"/>
  <c r="G33" i="19" s="1"/>
  <c r="F52" i="18"/>
  <c r="H52" i="18" s="1"/>
  <c r="J52" i="18" s="1"/>
  <c r="L48" i="18"/>
  <c r="J45" i="18"/>
  <c r="H45" i="18"/>
  <c r="F45" i="18"/>
  <c r="L43" i="18"/>
  <c r="L42" i="18"/>
  <c r="D45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F13" i="18"/>
  <c r="D13" i="18"/>
  <c r="L11" i="18"/>
  <c r="L10" i="18"/>
  <c r="L9" i="18"/>
  <c r="L8" i="18"/>
  <c r="L7" i="18"/>
  <c r="H13" i="18"/>
  <c r="D41" i="16"/>
  <c r="D21" i="16"/>
  <c r="H6" i="16"/>
  <c r="J6" i="16" s="1"/>
  <c r="G39" i="21" l="1"/>
  <c r="G43" i="21" s="1"/>
  <c r="G48" i="19"/>
  <c r="G52" i="19" s="1"/>
  <c r="C62" i="19"/>
  <c r="H56" i="19"/>
  <c r="I56" i="19"/>
  <c r="I58" i="19"/>
  <c r="D62" i="19"/>
  <c r="C58" i="19"/>
  <c r="D59" i="19"/>
  <c r="C56" i="19"/>
  <c r="C57" i="19"/>
  <c r="D58" i="19"/>
  <c r="E59" i="19"/>
  <c r="E62" i="19"/>
  <c r="F62" i="19"/>
  <c r="H57" i="19"/>
  <c r="I57" i="19"/>
  <c r="C59" i="19"/>
  <c r="D56" i="19"/>
  <c r="D57" i="19"/>
  <c r="E58" i="19"/>
  <c r="F59" i="19"/>
  <c r="E56" i="19"/>
  <c r="E57" i="19"/>
  <c r="F58" i="19"/>
  <c r="G59" i="19"/>
  <c r="G62" i="19"/>
  <c r="H62" i="19"/>
  <c r="F56" i="19"/>
  <c r="F57" i="19"/>
  <c r="G58" i="19"/>
  <c r="H59" i="19"/>
  <c r="G57" i="19"/>
  <c r="H58" i="19"/>
  <c r="D46" i="18"/>
  <c r="D50" i="18" s="1"/>
  <c r="D54" i="18" s="1"/>
  <c r="F46" i="18"/>
  <c r="H46" i="18"/>
  <c r="L41" i="18"/>
  <c r="L45" i="18" s="1"/>
  <c r="J13" i="18"/>
  <c r="J46" i="18" s="1"/>
  <c r="L6" i="18"/>
  <c r="L13" i="18" s="1"/>
  <c r="D46" i="8"/>
  <c r="D47" i="8" s="1"/>
  <c r="F57" i="8"/>
  <c r="F59" i="8" s="1"/>
  <c r="Z45" i="17"/>
  <c r="X45" i="17"/>
  <c r="Z13" i="17"/>
  <c r="Z46" i="17" s="1"/>
  <c r="X13" i="17"/>
  <c r="V45" i="17"/>
  <c r="V13" i="17"/>
  <c r="V46" i="17" s="1"/>
  <c r="T45" i="17"/>
  <c r="T13" i="17"/>
  <c r="R45" i="17"/>
  <c r="R13" i="17"/>
  <c r="P45" i="17"/>
  <c r="P13" i="17"/>
  <c r="N45" i="17"/>
  <c r="N13" i="17"/>
  <c r="L45" i="17"/>
  <c r="L13" i="17"/>
  <c r="J45" i="17"/>
  <c r="J13" i="17"/>
  <c r="J46" i="17" s="1"/>
  <c r="H45" i="17"/>
  <c r="H13" i="17"/>
  <c r="F52" i="17"/>
  <c r="H52" i="17" s="1"/>
  <c r="AB48" i="17"/>
  <c r="F45" i="17"/>
  <c r="D45" i="17"/>
  <c r="AB43" i="17"/>
  <c r="AB42" i="17"/>
  <c r="AB41" i="17"/>
  <c r="AB40" i="17"/>
  <c r="AB39" i="17"/>
  <c r="AB38" i="17"/>
  <c r="AB37" i="17"/>
  <c r="AB36" i="17"/>
  <c r="AB35" i="17"/>
  <c r="AB34" i="17"/>
  <c r="AB33" i="17"/>
  <c r="AB32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F13" i="17"/>
  <c r="D13" i="17"/>
  <c r="AB11" i="17"/>
  <c r="AB10" i="17"/>
  <c r="AB9" i="17"/>
  <c r="AB8" i="17"/>
  <c r="AB7" i="17"/>
  <c r="AB6" i="17"/>
  <c r="F52" i="16"/>
  <c r="H52" i="16" s="1"/>
  <c r="L48" i="16"/>
  <c r="J45" i="16"/>
  <c r="H45" i="16"/>
  <c r="F45" i="16"/>
  <c r="D45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J13" i="16"/>
  <c r="H13" i="16"/>
  <c r="F13" i="16"/>
  <c r="D13" i="16"/>
  <c r="L11" i="16"/>
  <c r="L10" i="16"/>
  <c r="L9" i="16"/>
  <c r="L8" i="16"/>
  <c r="L7" i="16"/>
  <c r="L6" i="16"/>
  <c r="D48" i="8" l="1"/>
  <c r="L46" i="17"/>
  <c r="P46" i="17"/>
  <c r="T46" i="17"/>
  <c r="X46" i="17"/>
  <c r="D46" i="17"/>
  <c r="D50" i="17" s="1"/>
  <c r="J46" i="16"/>
  <c r="F46" i="17"/>
  <c r="H46" i="17"/>
  <c r="D46" i="16"/>
  <c r="D50" i="16" s="1"/>
  <c r="G51" i="19"/>
  <c r="D56" i="18"/>
  <c r="D58" i="18" s="1"/>
  <c r="L46" i="18"/>
  <c r="L50" i="18" s="1"/>
  <c r="H46" i="16"/>
  <c r="F46" i="16"/>
  <c r="L45" i="16"/>
  <c r="L13" i="16"/>
  <c r="R46" i="17"/>
  <c r="N46" i="17"/>
  <c r="J52" i="17"/>
  <c r="AB13" i="17"/>
  <c r="AB45" i="17"/>
  <c r="D54" i="17"/>
  <c r="D56" i="17"/>
  <c r="J52" i="16"/>
  <c r="D56" i="16"/>
  <c r="D54" i="16"/>
  <c r="D60" i="18" l="1"/>
  <c r="D62" i="18" s="1"/>
  <c r="L46" i="16"/>
  <c r="L50" i="16" s="1"/>
  <c r="L52" i="17"/>
  <c r="AB46" i="17"/>
  <c r="AB50" i="17" s="1"/>
  <c r="D58" i="17"/>
  <c r="D60" i="17" s="1"/>
  <c r="D58" i="16"/>
  <c r="D64" i="18" l="1"/>
  <c r="D66" i="18" s="1"/>
  <c r="N52" i="17"/>
  <c r="D62" i="17"/>
  <c r="D60" i="16"/>
  <c r="D62" i="16" s="1"/>
  <c r="D68" i="18" l="1"/>
  <c r="F48" i="18" s="1"/>
  <c r="F50" i="18" s="1"/>
  <c r="P52" i="17"/>
  <c r="D64" i="17"/>
  <c r="D66" i="17" s="1"/>
  <c r="D68" i="17" s="1"/>
  <c r="D64" i="16"/>
  <c r="D66" i="16" s="1"/>
  <c r="F54" i="18" l="1"/>
  <c r="F56" i="18"/>
  <c r="F48" i="17"/>
  <c r="F50" i="17" s="1"/>
  <c r="R52" i="17"/>
  <c r="D68" i="16"/>
  <c r="F48" i="16" s="1"/>
  <c r="F50" i="16" s="1"/>
  <c r="F58" i="18" l="1"/>
  <c r="F54" i="17"/>
  <c r="F56" i="17"/>
  <c r="F58" i="17" s="1"/>
  <c r="T52" i="17"/>
  <c r="F54" i="16"/>
  <c r="F56" i="16"/>
  <c r="F60" i="18" l="1"/>
  <c r="F62" i="18" s="1"/>
  <c r="F60" i="17"/>
  <c r="F62" i="17" s="1"/>
  <c r="F64" i="17" s="1"/>
  <c r="F66" i="17" s="1"/>
  <c r="V52" i="17"/>
  <c r="X52" i="17" s="1"/>
  <c r="Z52" i="17" s="1"/>
  <c r="F58" i="16"/>
  <c r="F64" i="18" l="1"/>
  <c r="F66" i="18" s="1"/>
  <c r="F68" i="17"/>
  <c r="H48" i="17" s="1"/>
  <c r="H50" i="17" s="1"/>
  <c r="F60" i="16"/>
  <c r="F62" i="16" s="1"/>
  <c r="F68" i="18" l="1"/>
  <c r="H48" i="18" s="1"/>
  <c r="H50" i="18" s="1"/>
  <c r="H54" i="17"/>
  <c r="H56" i="17"/>
  <c r="H58" i="17" s="1"/>
  <c r="H60" i="17" s="1"/>
  <c r="F64" i="16"/>
  <c r="F66" i="16" s="1"/>
  <c r="H54" i="18" l="1"/>
  <c r="H56" i="18"/>
  <c r="H62" i="17"/>
  <c r="H64" i="17" s="1"/>
  <c r="H66" i="17" s="1"/>
  <c r="F68" i="16"/>
  <c r="H48" i="16" s="1"/>
  <c r="H50" i="16" s="1"/>
  <c r="H58" i="18" l="1"/>
  <c r="H68" i="17"/>
  <c r="H54" i="16"/>
  <c r="H56" i="16"/>
  <c r="H60" i="18" l="1"/>
  <c r="H62" i="18" s="1"/>
  <c r="J48" i="17"/>
  <c r="J50" i="17" s="1"/>
  <c r="H58" i="16"/>
  <c r="H64" i="18" l="1"/>
  <c r="H66" i="18" s="1"/>
  <c r="J56" i="17"/>
  <c r="J58" i="17" s="1"/>
  <c r="J60" i="17" s="1"/>
  <c r="J54" i="17"/>
  <c r="H60" i="16"/>
  <c r="H62" i="16" s="1"/>
  <c r="H68" i="18" l="1"/>
  <c r="J48" i="18" s="1"/>
  <c r="J50" i="18" s="1"/>
  <c r="J62" i="17"/>
  <c r="J64" i="17" s="1"/>
  <c r="J66" i="17" s="1"/>
  <c r="J68" i="17" s="1"/>
  <c r="L48" i="17" s="1"/>
  <c r="L50" i="17" s="1"/>
  <c r="H64" i="16"/>
  <c r="H66" i="16" s="1"/>
  <c r="H68" i="16" s="1"/>
  <c r="J48" i="16" s="1"/>
  <c r="J50" i="16" s="1"/>
  <c r="J54" i="18" l="1"/>
  <c r="J56" i="18"/>
  <c r="L56" i="17"/>
  <c r="L58" i="17" s="1"/>
  <c r="L60" i="17" s="1"/>
  <c r="L54" i="17"/>
  <c r="J54" i="16"/>
  <c r="J56" i="16"/>
  <c r="L56" i="16" s="1"/>
  <c r="L56" i="18" l="1"/>
  <c r="J58" i="18"/>
  <c r="J58" i="16"/>
  <c r="J60" i="16" s="1"/>
  <c r="J62" i="16" s="1"/>
  <c r="L62" i="16" s="1"/>
  <c r="L62" i="17"/>
  <c r="L64" i="17" s="1"/>
  <c r="L66" i="17" s="1"/>
  <c r="J60" i="18" l="1"/>
  <c r="L68" i="17"/>
  <c r="N48" i="17" s="1"/>
  <c r="N50" i="17" s="1"/>
  <c r="N56" i="17" s="1"/>
  <c r="N58" i="17" s="1"/>
  <c r="N60" i="17" s="1"/>
  <c r="J64" i="16"/>
  <c r="J66" i="16" s="1"/>
  <c r="J68" i="16" s="1"/>
  <c r="L60" i="16"/>
  <c r="J62" i="18" l="1"/>
  <c r="N54" i="17"/>
  <c r="N62" i="17" s="1"/>
  <c r="N64" i="17" s="1"/>
  <c r="N66" i="17" s="1"/>
  <c r="L66" i="16"/>
  <c r="L68" i="16" s="1"/>
  <c r="L58" i="16"/>
  <c r="L62" i="18" l="1"/>
  <c r="J64" i="18"/>
  <c r="J66" i="18" s="1"/>
  <c r="L60" i="18"/>
  <c r="N68" i="17"/>
  <c r="P48" i="17" s="1"/>
  <c r="P50" i="17" s="1"/>
  <c r="U10" i="11"/>
  <c r="F25" i="11"/>
  <c r="F15" i="11"/>
  <c r="C8" i="11"/>
  <c r="R19" i="11"/>
  <c r="T19" i="11" s="1"/>
  <c r="R18" i="11"/>
  <c r="T18" i="11" s="1"/>
  <c r="R17" i="11"/>
  <c r="T17" i="11" s="1"/>
  <c r="R16" i="11"/>
  <c r="T16" i="11" s="1"/>
  <c r="R15" i="11"/>
  <c r="T15" i="11" s="1"/>
  <c r="R14" i="11"/>
  <c r="T14" i="11" s="1"/>
  <c r="R13" i="11"/>
  <c r="T13" i="11" s="1"/>
  <c r="Q17" i="11"/>
  <c r="S17" i="11" s="1"/>
  <c r="AA17" i="11" s="1"/>
  <c r="Q18" i="11"/>
  <c r="S18" i="11" s="1"/>
  <c r="Q19" i="11"/>
  <c r="S19" i="11" s="1"/>
  <c r="Q16" i="11"/>
  <c r="S16" i="11" s="1"/>
  <c r="Q15" i="11"/>
  <c r="S15" i="11" s="1"/>
  <c r="Q14" i="11"/>
  <c r="Q13" i="11"/>
  <c r="S13" i="11" s="1"/>
  <c r="F33" i="11"/>
  <c r="F88" i="8"/>
  <c r="F89" i="8" s="1"/>
  <c r="F92" i="8" s="1"/>
  <c r="R31" i="8"/>
  <c r="R43" i="8" s="1"/>
  <c r="R56" i="8" s="1"/>
  <c r="R68" i="8" s="1"/>
  <c r="R80" i="8" s="1"/>
  <c r="R95" i="8" s="1"/>
  <c r="R107" i="8" s="1"/>
  <c r="R119" i="8" s="1"/>
  <c r="R131" i="8" s="1"/>
  <c r="R143" i="8" s="1"/>
  <c r="R155" i="8" s="1"/>
  <c r="R167" i="8" s="1"/>
  <c r="R179" i="8" s="1"/>
  <c r="R191" i="8" s="1"/>
  <c r="R203" i="8" s="1"/>
  <c r="R215" i="8" s="1"/>
  <c r="R227" i="8" s="1"/>
  <c r="R239" i="8" s="1"/>
  <c r="R251" i="8" s="1"/>
  <c r="R263" i="8" s="1"/>
  <c r="R275" i="8" s="1"/>
  <c r="R287" i="8" s="1"/>
  <c r="R299" i="8" s="1"/>
  <c r="R311" i="8" s="1"/>
  <c r="R323" i="8" s="1"/>
  <c r="R335" i="8" s="1"/>
  <c r="R347" i="8" s="1"/>
  <c r="R359" i="8" s="1"/>
  <c r="R371" i="8" s="1"/>
  <c r="R383" i="8" s="1"/>
  <c r="R395" i="8" s="1"/>
  <c r="R407" i="8" s="1"/>
  <c r="R419" i="8" s="1"/>
  <c r="R431" i="8" s="1"/>
  <c r="R443" i="8" s="1"/>
  <c r="R455" i="8" s="1"/>
  <c r="R467" i="8" s="1"/>
  <c r="R479" i="8" s="1"/>
  <c r="R491" i="8" s="1"/>
  <c r="R20" i="8"/>
  <c r="R21" i="8" s="1"/>
  <c r="T18" i="8"/>
  <c r="T19" i="8" s="1"/>
  <c r="T20" i="8" s="1"/>
  <c r="D17" i="8"/>
  <c r="D11" i="8"/>
  <c r="F87" i="8" s="1"/>
  <c r="A62" i="7"/>
  <c r="G62" i="7" s="1"/>
  <c r="A57" i="7"/>
  <c r="G59" i="7" s="1"/>
  <c r="A56" i="7"/>
  <c r="E56" i="7" s="1"/>
  <c r="G45" i="7"/>
  <c r="G39" i="7"/>
  <c r="G27" i="7"/>
  <c r="G30" i="7" s="1"/>
  <c r="G33" i="7" s="1"/>
  <c r="D12" i="8" l="1"/>
  <c r="D49" i="8" s="1"/>
  <c r="AA13" i="11"/>
  <c r="AB13" i="11" s="1"/>
  <c r="L66" i="18"/>
  <c r="L68" i="18" s="1"/>
  <c r="L58" i="18"/>
  <c r="J68" i="18"/>
  <c r="P54" i="17"/>
  <c r="P56" i="17"/>
  <c r="P58" i="17" s="1"/>
  <c r="P60" i="17" s="1"/>
  <c r="H56" i="7"/>
  <c r="F56" i="7"/>
  <c r="G56" i="7"/>
  <c r="T21" i="8"/>
  <c r="AA15" i="11"/>
  <c r="AC15" i="11" s="1"/>
  <c r="AD15" i="11" s="1"/>
  <c r="AA16" i="11"/>
  <c r="AC16" i="11" s="1"/>
  <c r="AD16" i="11" s="1"/>
  <c r="AA18" i="11"/>
  <c r="AC18" i="11" s="1"/>
  <c r="AD18" i="11" s="1"/>
  <c r="F35" i="11"/>
  <c r="AA19" i="11"/>
  <c r="AB19" i="11" s="1"/>
  <c r="AE19" i="11" s="1"/>
  <c r="AB17" i="11"/>
  <c r="AE17" i="11" s="1"/>
  <c r="AC17" i="11"/>
  <c r="AD17" i="11" s="1"/>
  <c r="U13" i="11"/>
  <c r="W13" i="11" s="1"/>
  <c r="X13" i="11" s="1"/>
  <c r="U19" i="11"/>
  <c r="W19" i="11" s="1"/>
  <c r="U18" i="11"/>
  <c r="W18" i="11" s="1"/>
  <c r="X18" i="11" s="1"/>
  <c r="U17" i="11"/>
  <c r="W17" i="11" s="1"/>
  <c r="U16" i="11"/>
  <c r="W16" i="11" s="1"/>
  <c r="X16" i="11" s="1"/>
  <c r="U15" i="11"/>
  <c r="W15" i="11" s="1"/>
  <c r="U14" i="11"/>
  <c r="W14" i="11" s="1"/>
  <c r="X14" i="11" s="1"/>
  <c r="E12" i="11"/>
  <c r="E11" i="11"/>
  <c r="O14" i="11"/>
  <c r="P16" i="11"/>
  <c r="O16" i="11"/>
  <c r="O13" i="11"/>
  <c r="S14" i="11"/>
  <c r="P17" i="11"/>
  <c r="O19" i="11"/>
  <c r="P15" i="11"/>
  <c r="P18" i="11"/>
  <c r="O18" i="11"/>
  <c r="P19" i="11"/>
  <c r="O17" i="11"/>
  <c r="P13" i="11"/>
  <c r="O15" i="11"/>
  <c r="R22" i="8"/>
  <c r="R33" i="8"/>
  <c r="R45" i="8" s="1"/>
  <c r="R58" i="8" s="1"/>
  <c r="R70" i="8" s="1"/>
  <c r="R82" i="8" s="1"/>
  <c r="R97" i="8" s="1"/>
  <c r="R109" i="8" s="1"/>
  <c r="R121" i="8" s="1"/>
  <c r="R133" i="8" s="1"/>
  <c r="R145" i="8" s="1"/>
  <c r="R157" i="8" s="1"/>
  <c r="R169" i="8" s="1"/>
  <c r="R181" i="8" s="1"/>
  <c r="R193" i="8" s="1"/>
  <c r="R205" i="8" s="1"/>
  <c r="R217" i="8" s="1"/>
  <c r="R229" i="8" s="1"/>
  <c r="R241" i="8" s="1"/>
  <c r="R253" i="8" s="1"/>
  <c r="R265" i="8" s="1"/>
  <c r="R277" i="8" s="1"/>
  <c r="R289" i="8" s="1"/>
  <c r="R301" i="8" s="1"/>
  <c r="R313" i="8" s="1"/>
  <c r="R325" i="8" s="1"/>
  <c r="R337" i="8" s="1"/>
  <c r="R349" i="8" s="1"/>
  <c r="R361" i="8" s="1"/>
  <c r="R373" i="8" s="1"/>
  <c r="R385" i="8" s="1"/>
  <c r="R397" i="8" s="1"/>
  <c r="R409" i="8" s="1"/>
  <c r="R421" i="8" s="1"/>
  <c r="R433" i="8" s="1"/>
  <c r="R445" i="8" s="1"/>
  <c r="R457" i="8" s="1"/>
  <c r="R469" i="8" s="1"/>
  <c r="R481" i="8" s="1"/>
  <c r="R493" i="8" s="1"/>
  <c r="R32" i="8"/>
  <c r="R44" i="8" s="1"/>
  <c r="R57" i="8" s="1"/>
  <c r="R69" i="8" s="1"/>
  <c r="R81" i="8" s="1"/>
  <c r="R96" i="8" s="1"/>
  <c r="R108" i="8" s="1"/>
  <c r="R120" i="8" s="1"/>
  <c r="R132" i="8" s="1"/>
  <c r="R144" i="8" s="1"/>
  <c r="R156" i="8" s="1"/>
  <c r="R168" i="8" s="1"/>
  <c r="R180" i="8" s="1"/>
  <c r="R192" i="8" s="1"/>
  <c r="R204" i="8" s="1"/>
  <c r="R216" i="8" s="1"/>
  <c r="R228" i="8" s="1"/>
  <c r="R240" i="8" s="1"/>
  <c r="R252" i="8" s="1"/>
  <c r="R264" i="8" s="1"/>
  <c r="R276" i="8" s="1"/>
  <c r="R288" i="8" s="1"/>
  <c r="R300" i="8" s="1"/>
  <c r="R312" i="8" s="1"/>
  <c r="R324" i="8" s="1"/>
  <c r="R336" i="8" s="1"/>
  <c r="R348" i="8" s="1"/>
  <c r="R360" i="8" s="1"/>
  <c r="R372" i="8" s="1"/>
  <c r="R384" i="8" s="1"/>
  <c r="R396" i="8" s="1"/>
  <c r="R408" i="8" s="1"/>
  <c r="R420" i="8" s="1"/>
  <c r="R432" i="8" s="1"/>
  <c r="R444" i="8" s="1"/>
  <c r="R456" i="8" s="1"/>
  <c r="R468" i="8" s="1"/>
  <c r="R480" i="8" s="1"/>
  <c r="R492" i="8" s="1"/>
  <c r="I59" i="7"/>
  <c r="G48" i="7"/>
  <c r="H62" i="7"/>
  <c r="I62" i="7"/>
  <c r="G58" i="7"/>
  <c r="F57" i="7"/>
  <c r="H58" i="7"/>
  <c r="G57" i="7"/>
  <c r="H57" i="7"/>
  <c r="I58" i="7"/>
  <c r="H59" i="7"/>
  <c r="I56" i="7"/>
  <c r="I57" i="7"/>
  <c r="C59" i="7"/>
  <c r="C62" i="7"/>
  <c r="C58" i="7"/>
  <c r="D59" i="7"/>
  <c r="D62" i="7"/>
  <c r="C56" i="7"/>
  <c r="C57" i="7"/>
  <c r="D58" i="7"/>
  <c r="E59" i="7"/>
  <c r="E62" i="7"/>
  <c r="D56" i="7"/>
  <c r="D57" i="7"/>
  <c r="E58" i="7"/>
  <c r="F59" i="7"/>
  <c r="F62" i="7"/>
  <c r="E57" i="7"/>
  <c r="F58" i="7"/>
  <c r="AC13" i="11" l="1"/>
  <c r="AD13" i="11" s="1"/>
  <c r="AE13" i="11"/>
  <c r="G51" i="7"/>
  <c r="G52" i="7"/>
  <c r="P62" i="17"/>
  <c r="P64" i="17" s="1"/>
  <c r="P66" i="17" s="1"/>
  <c r="AB15" i="11"/>
  <c r="AE15" i="11" s="1"/>
  <c r="AC19" i="11"/>
  <c r="AD19" i="11" s="1"/>
  <c r="AB16" i="11"/>
  <c r="AE16" i="11" s="1"/>
  <c r="E29" i="11" s="1"/>
  <c r="AF13" i="11"/>
  <c r="AB18" i="11"/>
  <c r="AE18" i="11" s="1"/>
  <c r="AF15" i="11"/>
  <c r="AF18" i="11"/>
  <c r="Z16" i="11"/>
  <c r="V14" i="11"/>
  <c r="Y14" i="11" s="1"/>
  <c r="X19" i="11"/>
  <c r="Z19" i="11" s="1"/>
  <c r="P14" i="11"/>
  <c r="AA14" i="11"/>
  <c r="Z13" i="11"/>
  <c r="Z18" i="11"/>
  <c r="X15" i="11"/>
  <c r="Z15" i="11" s="1"/>
  <c r="AF16" i="11"/>
  <c r="AF17" i="11"/>
  <c r="V18" i="11"/>
  <c r="Y18" i="11" s="1"/>
  <c r="Z14" i="11"/>
  <c r="X17" i="11"/>
  <c r="Z17" i="11" s="1"/>
  <c r="V13" i="11"/>
  <c r="Y13" i="11" s="1"/>
  <c r="V15" i="11"/>
  <c r="V16" i="11"/>
  <c r="V17" i="11"/>
  <c r="V19" i="11"/>
  <c r="J27" i="11"/>
  <c r="J17" i="11"/>
  <c r="R23" i="8"/>
  <c r="R34" i="8"/>
  <c r="R46" i="8" s="1"/>
  <c r="R59" i="8" s="1"/>
  <c r="R71" i="8" s="1"/>
  <c r="R83" i="8" s="1"/>
  <c r="R98" i="8" s="1"/>
  <c r="R110" i="8" s="1"/>
  <c r="R122" i="8" s="1"/>
  <c r="R134" i="8" s="1"/>
  <c r="R146" i="8" s="1"/>
  <c r="R158" i="8" s="1"/>
  <c r="R170" i="8" s="1"/>
  <c r="R182" i="8" s="1"/>
  <c r="R194" i="8" s="1"/>
  <c r="R206" i="8" s="1"/>
  <c r="R218" i="8" s="1"/>
  <c r="R230" i="8" s="1"/>
  <c r="R242" i="8" s="1"/>
  <c r="R254" i="8" s="1"/>
  <c r="R266" i="8" s="1"/>
  <c r="R278" i="8" s="1"/>
  <c r="R290" i="8" s="1"/>
  <c r="R302" i="8" s="1"/>
  <c r="R314" i="8" s="1"/>
  <c r="R326" i="8" s="1"/>
  <c r="R338" i="8" s="1"/>
  <c r="R350" i="8" s="1"/>
  <c r="R362" i="8" s="1"/>
  <c r="R374" i="8" s="1"/>
  <c r="R386" i="8" s="1"/>
  <c r="R398" i="8" s="1"/>
  <c r="R410" i="8" s="1"/>
  <c r="R422" i="8" s="1"/>
  <c r="R434" i="8" s="1"/>
  <c r="R446" i="8" s="1"/>
  <c r="R458" i="8" s="1"/>
  <c r="R470" i="8" s="1"/>
  <c r="R482" i="8" s="1"/>
  <c r="R494" i="8" s="1"/>
  <c r="T22" i="8"/>
  <c r="P68" i="17" l="1"/>
  <c r="R48" i="17" s="1"/>
  <c r="R50" i="17" s="1"/>
  <c r="AF19" i="11"/>
  <c r="E30" i="11"/>
  <c r="AC14" i="11"/>
  <c r="AB14" i="11"/>
  <c r="AE14" i="11" s="1"/>
  <c r="Y16" i="11"/>
  <c r="Y15" i="11"/>
  <c r="Y17" i="11"/>
  <c r="Y19" i="11"/>
  <c r="A18" i="11"/>
  <c r="E25" i="11"/>
  <c r="A27" i="11"/>
  <c r="E33" i="11"/>
  <c r="R35" i="8"/>
  <c r="R47" i="8" s="1"/>
  <c r="R60" i="8" s="1"/>
  <c r="R72" i="8" s="1"/>
  <c r="R84" i="8" s="1"/>
  <c r="R99" i="8" s="1"/>
  <c r="R111" i="8" s="1"/>
  <c r="R123" i="8" s="1"/>
  <c r="R135" i="8" s="1"/>
  <c r="R147" i="8" s="1"/>
  <c r="R159" i="8" s="1"/>
  <c r="R171" i="8" s="1"/>
  <c r="R183" i="8" s="1"/>
  <c r="R195" i="8" s="1"/>
  <c r="R207" i="8" s="1"/>
  <c r="R219" i="8" s="1"/>
  <c r="R231" i="8" s="1"/>
  <c r="R243" i="8" s="1"/>
  <c r="R255" i="8" s="1"/>
  <c r="R267" i="8" s="1"/>
  <c r="R279" i="8" s="1"/>
  <c r="R291" i="8" s="1"/>
  <c r="R303" i="8" s="1"/>
  <c r="R315" i="8" s="1"/>
  <c r="R327" i="8" s="1"/>
  <c r="R339" i="8" s="1"/>
  <c r="R351" i="8" s="1"/>
  <c r="R363" i="8" s="1"/>
  <c r="R375" i="8" s="1"/>
  <c r="R387" i="8" s="1"/>
  <c r="R399" i="8" s="1"/>
  <c r="R411" i="8" s="1"/>
  <c r="R423" i="8" s="1"/>
  <c r="R435" i="8" s="1"/>
  <c r="R447" i="8" s="1"/>
  <c r="R459" i="8" s="1"/>
  <c r="R471" i="8" s="1"/>
  <c r="R483" i="8" s="1"/>
  <c r="R495" i="8" s="1"/>
  <c r="R24" i="8"/>
  <c r="T23" i="8"/>
  <c r="R54" i="17" l="1"/>
  <c r="R56" i="17"/>
  <c r="R58" i="17" s="1"/>
  <c r="R60" i="17" s="1"/>
  <c r="AD14" i="11"/>
  <c r="AF14" i="11" s="1"/>
  <c r="E20" i="11"/>
  <c r="E21" i="11"/>
  <c r="R25" i="8"/>
  <c r="R36" i="8"/>
  <c r="R48" i="8" s="1"/>
  <c r="R61" i="8" s="1"/>
  <c r="R73" i="8" s="1"/>
  <c r="R85" i="8" s="1"/>
  <c r="R100" i="8" s="1"/>
  <c r="R112" i="8" s="1"/>
  <c r="R124" i="8" s="1"/>
  <c r="R136" i="8" s="1"/>
  <c r="R148" i="8" s="1"/>
  <c r="R160" i="8" s="1"/>
  <c r="R172" i="8" s="1"/>
  <c r="R184" i="8" s="1"/>
  <c r="R196" i="8" s="1"/>
  <c r="R208" i="8" s="1"/>
  <c r="R220" i="8" s="1"/>
  <c r="R232" i="8" s="1"/>
  <c r="R244" i="8" s="1"/>
  <c r="R256" i="8" s="1"/>
  <c r="R268" i="8" s="1"/>
  <c r="R280" i="8" s="1"/>
  <c r="R292" i="8" s="1"/>
  <c r="R304" i="8" s="1"/>
  <c r="R316" i="8" s="1"/>
  <c r="R328" i="8" s="1"/>
  <c r="R340" i="8" s="1"/>
  <c r="R352" i="8" s="1"/>
  <c r="R364" i="8" s="1"/>
  <c r="R376" i="8" s="1"/>
  <c r="R388" i="8" s="1"/>
  <c r="R400" i="8" s="1"/>
  <c r="R412" i="8" s="1"/>
  <c r="R424" i="8" s="1"/>
  <c r="R436" i="8" s="1"/>
  <c r="R448" i="8" s="1"/>
  <c r="R460" i="8" s="1"/>
  <c r="R472" i="8" s="1"/>
  <c r="R484" i="8" s="1"/>
  <c r="R496" i="8" s="1"/>
  <c r="T24" i="8"/>
  <c r="R62" i="17" l="1"/>
  <c r="R64" i="17" s="1"/>
  <c r="R66" i="17" s="1"/>
  <c r="R68" i="17" s="1"/>
  <c r="T48" i="17" s="1"/>
  <c r="T50" i="17" s="1"/>
  <c r="R26" i="8"/>
  <c r="R37" i="8"/>
  <c r="R49" i="8" s="1"/>
  <c r="R62" i="8" s="1"/>
  <c r="R74" i="8" s="1"/>
  <c r="R86" i="8" s="1"/>
  <c r="R101" i="8" s="1"/>
  <c r="R113" i="8" s="1"/>
  <c r="R125" i="8" s="1"/>
  <c r="R137" i="8" s="1"/>
  <c r="R149" i="8" s="1"/>
  <c r="R161" i="8" s="1"/>
  <c r="R173" i="8" s="1"/>
  <c r="R185" i="8" s="1"/>
  <c r="R197" i="8" s="1"/>
  <c r="R209" i="8" s="1"/>
  <c r="R221" i="8" s="1"/>
  <c r="R233" i="8" s="1"/>
  <c r="R245" i="8" s="1"/>
  <c r="R257" i="8" s="1"/>
  <c r="R269" i="8" s="1"/>
  <c r="R281" i="8" s="1"/>
  <c r="R293" i="8" s="1"/>
  <c r="R305" i="8" s="1"/>
  <c r="R317" i="8" s="1"/>
  <c r="R329" i="8" s="1"/>
  <c r="R341" i="8" s="1"/>
  <c r="R353" i="8" s="1"/>
  <c r="R365" i="8" s="1"/>
  <c r="R377" i="8" s="1"/>
  <c r="R389" i="8" s="1"/>
  <c r="R401" i="8" s="1"/>
  <c r="R413" i="8" s="1"/>
  <c r="R425" i="8" s="1"/>
  <c r="R437" i="8" s="1"/>
  <c r="R449" i="8" s="1"/>
  <c r="R461" i="8" s="1"/>
  <c r="R473" i="8" s="1"/>
  <c r="R485" i="8" s="1"/>
  <c r="R497" i="8" s="1"/>
  <c r="T25" i="8"/>
  <c r="T56" i="17" l="1"/>
  <c r="T58" i="17" s="1"/>
  <c r="T60" i="17" s="1"/>
  <c r="T54" i="17"/>
  <c r="R27" i="8"/>
  <c r="R38" i="8"/>
  <c r="R50" i="8" s="1"/>
  <c r="R63" i="8" s="1"/>
  <c r="R75" i="8" s="1"/>
  <c r="R89" i="8" s="1"/>
  <c r="R102" i="8" s="1"/>
  <c r="R114" i="8" s="1"/>
  <c r="R126" i="8" s="1"/>
  <c r="R138" i="8" s="1"/>
  <c r="R150" i="8" s="1"/>
  <c r="R162" i="8" s="1"/>
  <c r="R174" i="8" s="1"/>
  <c r="R186" i="8" s="1"/>
  <c r="R198" i="8" s="1"/>
  <c r="R210" i="8" s="1"/>
  <c r="R222" i="8" s="1"/>
  <c r="R234" i="8" s="1"/>
  <c r="R246" i="8" s="1"/>
  <c r="R258" i="8" s="1"/>
  <c r="R270" i="8" s="1"/>
  <c r="R282" i="8" s="1"/>
  <c r="R294" i="8" s="1"/>
  <c r="R306" i="8" s="1"/>
  <c r="R318" i="8" s="1"/>
  <c r="R330" i="8" s="1"/>
  <c r="R342" i="8" s="1"/>
  <c r="R354" i="8" s="1"/>
  <c r="R366" i="8" s="1"/>
  <c r="R378" i="8" s="1"/>
  <c r="R390" i="8" s="1"/>
  <c r="R402" i="8" s="1"/>
  <c r="R414" i="8" s="1"/>
  <c r="R426" i="8" s="1"/>
  <c r="R438" i="8" s="1"/>
  <c r="R450" i="8" s="1"/>
  <c r="R462" i="8" s="1"/>
  <c r="R474" i="8" s="1"/>
  <c r="R486" i="8" s="1"/>
  <c r="R498" i="8" s="1"/>
  <c r="T26" i="8"/>
  <c r="T62" i="17" l="1"/>
  <c r="T64" i="17" s="1"/>
  <c r="T66" i="17" s="1"/>
  <c r="T68" i="17" s="1"/>
  <c r="V48" i="17" s="1"/>
  <c r="V50" i="17" s="1"/>
  <c r="R39" i="8"/>
  <c r="R51" i="8" s="1"/>
  <c r="R64" i="8" s="1"/>
  <c r="R76" i="8" s="1"/>
  <c r="R91" i="8" s="1"/>
  <c r="R103" i="8" s="1"/>
  <c r="R115" i="8" s="1"/>
  <c r="R127" i="8" s="1"/>
  <c r="R139" i="8" s="1"/>
  <c r="R151" i="8" s="1"/>
  <c r="R163" i="8" s="1"/>
  <c r="R175" i="8" s="1"/>
  <c r="R187" i="8" s="1"/>
  <c r="R199" i="8" s="1"/>
  <c r="R211" i="8" s="1"/>
  <c r="R223" i="8" s="1"/>
  <c r="R235" i="8" s="1"/>
  <c r="R247" i="8" s="1"/>
  <c r="R259" i="8" s="1"/>
  <c r="R271" i="8" s="1"/>
  <c r="R283" i="8" s="1"/>
  <c r="R295" i="8" s="1"/>
  <c r="R307" i="8" s="1"/>
  <c r="R319" i="8" s="1"/>
  <c r="R331" i="8" s="1"/>
  <c r="R343" i="8" s="1"/>
  <c r="R355" i="8" s="1"/>
  <c r="R367" i="8" s="1"/>
  <c r="R379" i="8" s="1"/>
  <c r="R391" i="8" s="1"/>
  <c r="R403" i="8" s="1"/>
  <c r="R415" i="8" s="1"/>
  <c r="R427" i="8" s="1"/>
  <c r="R439" i="8" s="1"/>
  <c r="R451" i="8" s="1"/>
  <c r="R463" i="8" s="1"/>
  <c r="R475" i="8" s="1"/>
  <c r="R487" i="8" s="1"/>
  <c r="R499" i="8" s="1"/>
  <c r="R28" i="8"/>
  <c r="T27" i="8"/>
  <c r="V54" i="17" l="1"/>
  <c r="V56" i="17"/>
  <c r="R29" i="8"/>
  <c r="R40" i="8"/>
  <c r="R52" i="8" s="1"/>
  <c r="R65" i="8" s="1"/>
  <c r="R77" i="8" s="1"/>
  <c r="R92" i="8" s="1"/>
  <c r="R104" i="8" s="1"/>
  <c r="R116" i="8" s="1"/>
  <c r="R128" i="8" s="1"/>
  <c r="R140" i="8" s="1"/>
  <c r="R152" i="8" s="1"/>
  <c r="R164" i="8" s="1"/>
  <c r="R176" i="8" s="1"/>
  <c r="R188" i="8" s="1"/>
  <c r="R200" i="8" s="1"/>
  <c r="R212" i="8" s="1"/>
  <c r="R224" i="8" s="1"/>
  <c r="R236" i="8" s="1"/>
  <c r="R248" i="8" s="1"/>
  <c r="R260" i="8" s="1"/>
  <c r="R272" i="8" s="1"/>
  <c r="R284" i="8" s="1"/>
  <c r="R296" i="8" s="1"/>
  <c r="R308" i="8" s="1"/>
  <c r="R320" i="8" s="1"/>
  <c r="R332" i="8" s="1"/>
  <c r="R344" i="8" s="1"/>
  <c r="R356" i="8" s="1"/>
  <c r="R368" i="8" s="1"/>
  <c r="R380" i="8" s="1"/>
  <c r="R392" i="8" s="1"/>
  <c r="R404" i="8" s="1"/>
  <c r="R416" i="8" s="1"/>
  <c r="R428" i="8" s="1"/>
  <c r="R440" i="8" s="1"/>
  <c r="R452" i="8" s="1"/>
  <c r="R464" i="8" s="1"/>
  <c r="R476" i="8" s="1"/>
  <c r="R488" i="8" s="1"/>
  <c r="R500" i="8" s="1"/>
  <c r="T28" i="8"/>
  <c r="V58" i="17" l="1"/>
  <c r="R30" i="8"/>
  <c r="R42" i="8" s="1"/>
  <c r="R54" i="8" s="1"/>
  <c r="R67" i="8" s="1"/>
  <c r="R79" i="8" s="1"/>
  <c r="R94" i="8" s="1"/>
  <c r="R106" i="8" s="1"/>
  <c r="R118" i="8" s="1"/>
  <c r="R130" i="8" s="1"/>
  <c r="R142" i="8" s="1"/>
  <c r="R154" i="8" s="1"/>
  <c r="R166" i="8" s="1"/>
  <c r="R178" i="8" s="1"/>
  <c r="R190" i="8" s="1"/>
  <c r="R202" i="8" s="1"/>
  <c r="R214" i="8" s="1"/>
  <c r="R226" i="8" s="1"/>
  <c r="R238" i="8" s="1"/>
  <c r="R250" i="8" s="1"/>
  <c r="R262" i="8" s="1"/>
  <c r="R274" i="8" s="1"/>
  <c r="R286" i="8" s="1"/>
  <c r="R298" i="8" s="1"/>
  <c r="R310" i="8" s="1"/>
  <c r="R322" i="8" s="1"/>
  <c r="R334" i="8" s="1"/>
  <c r="R346" i="8" s="1"/>
  <c r="R358" i="8" s="1"/>
  <c r="R370" i="8" s="1"/>
  <c r="R382" i="8" s="1"/>
  <c r="R394" i="8" s="1"/>
  <c r="R406" i="8" s="1"/>
  <c r="R418" i="8" s="1"/>
  <c r="R430" i="8" s="1"/>
  <c r="R442" i="8" s="1"/>
  <c r="R454" i="8" s="1"/>
  <c r="R466" i="8" s="1"/>
  <c r="R478" i="8" s="1"/>
  <c r="R490" i="8" s="1"/>
  <c r="R502" i="8" s="1"/>
  <c r="R41" i="8"/>
  <c r="R53" i="8" s="1"/>
  <c r="R66" i="8" s="1"/>
  <c r="R78" i="8" s="1"/>
  <c r="R93" i="8" s="1"/>
  <c r="R105" i="8" s="1"/>
  <c r="R117" i="8" s="1"/>
  <c r="R129" i="8" s="1"/>
  <c r="R141" i="8" s="1"/>
  <c r="R153" i="8" s="1"/>
  <c r="R165" i="8" s="1"/>
  <c r="R177" i="8" s="1"/>
  <c r="R189" i="8" s="1"/>
  <c r="R201" i="8" s="1"/>
  <c r="R213" i="8" s="1"/>
  <c r="R225" i="8" s="1"/>
  <c r="R237" i="8" s="1"/>
  <c r="R249" i="8" s="1"/>
  <c r="R261" i="8" s="1"/>
  <c r="R273" i="8" s="1"/>
  <c r="R285" i="8" s="1"/>
  <c r="R297" i="8" s="1"/>
  <c r="R309" i="8" s="1"/>
  <c r="R321" i="8" s="1"/>
  <c r="R333" i="8" s="1"/>
  <c r="R345" i="8" s="1"/>
  <c r="R357" i="8" s="1"/>
  <c r="R369" i="8" s="1"/>
  <c r="R381" i="8" s="1"/>
  <c r="R393" i="8" s="1"/>
  <c r="R405" i="8" s="1"/>
  <c r="R417" i="8" s="1"/>
  <c r="R429" i="8" s="1"/>
  <c r="R441" i="8" s="1"/>
  <c r="R453" i="8" s="1"/>
  <c r="R465" i="8" s="1"/>
  <c r="R477" i="8" s="1"/>
  <c r="R489" i="8" s="1"/>
  <c r="R501" i="8" s="1"/>
  <c r="T29" i="8"/>
  <c r="V60" i="17" l="1"/>
  <c r="V62" i="17" s="1"/>
  <c r="V64" i="17" s="1"/>
  <c r="V66" i="17" s="1"/>
  <c r="T30" i="8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48" i="8" s="1"/>
  <c r="T49" i="8" s="1"/>
  <c r="T50" i="8" s="1"/>
  <c r="T51" i="8" s="1"/>
  <c r="T52" i="8" s="1"/>
  <c r="T53" i="8" s="1"/>
  <c r="T54" i="8" s="1"/>
  <c r="T56" i="8" s="1"/>
  <c r="T57" i="8" s="1"/>
  <c r="T58" i="8" s="1"/>
  <c r="T59" i="8" s="1"/>
  <c r="T60" i="8" s="1"/>
  <c r="T61" i="8" s="1"/>
  <c r="T62" i="8" s="1"/>
  <c r="T63" i="8" s="1"/>
  <c r="T64" i="8" s="1"/>
  <c r="T65" i="8" s="1"/>
  <c r="T66" i="8" s="1"/>
  <c r="T67" i="8" s="1"/>
  <c r="T68" i="8" s="1"/>
  <c r="T69" i="8" s="1"/>
  <c r="T70" i="8" s="1"/>
  <c r="T71" i="8" s="1"/>
  <c r="T72" i="8" s="1"/>
  <c r="T73" i="8" s="1"/>
  <c r="T74" i="8" s="1"/>
  <c r="T75" i="8" s="1"/>
  <c r="T76" i="8" s="1"/>
  <c r="T77" i="8" s="1"/>
  <c r="T78" i="8" s="1"/>
  <c r="T79" i="8" s="1"/>
  <c r="T80" i="8" s="1"/>
  <c r="T81" i="8" s="1"/>
  <c r="T82" i="8" s="1"/>
  <c r="T83" i="8" s="1"/>
  <c r="T84" i="8" s="1"/>
  <c r="T85" i="8" s="1"/>
  <c r="T86" i="8" s="1"/>
  <c r="T89" i="8" s="1"/>
  <c r="T91" i="8" s="1"/>
  <c r="T92" i="8" s="1"/>
  <c r="T93" i="8" s="1"/>
  <c r="T94" i="8" s="1"/>
  <c r="T95" i="8" s="1"/>
  <c r="T96" i="8" s="1"/>
  <c r="T97" i="8" s="1"/>
  <c r="T98" i="8" s="1"/>
  <c r="T99" i="8" s="1"/>
  <c r="T100" i="8" s="1"/>
  <c r="T101" i="8" s="1"/>
  <c r="T102" i="8" s="1"/>
  <c r="T103" i="8" s="1"/>
  <c r="T104" i="8" s="1"/>
  <c r="T105" i="8" s="1"/>
  <c r="T106" i="8" s="1"/>
  <c r="T107" i="8" s="1"/>
  <c r="T108" i="8" s="1"/>
  <c r="T109" i="8" s="1"/>
  <c r="T110" i="8" s="1"/>
  <c r="T111" i="8" s="1"/>
  <c r="T112" i="8" s="1"/>
  <c r="T113" i="8" s="1"/>
  <c r="T114" i="8" s="1"/>
  <c r="T115" i="8" s="1"/>
  <c r="T116" i="8" s="1"/>
  <c r="T117" i="8" s="1"/>
  <c r="T118" i="8" s="1"/>
  <c r="T119" i="8" s="1"/>
  <c r="T120" i="8" s="1"/>
  <c r="T121" i="8" s="1"/>
  <c r="T122" i="8" s="1"/>
  <c r="T123" i="8" s="1"/>
  <c r="T124" i="8" s="1"/>
  <c r="T125" i="8" s="1"/>
  <c r="T126" i="8" s="1"/>
  <c r="T127" i="8" s="1"/>
  <c r="T128" i="8" s="1"/>
  <c r="T129" i="8" s="1"/>
  <c r="T130" i="8" s="1"/>
  <c r="T131" i="8" s="1"/>
  <c r="T132" i="8" s="1"/>
  <c r="T133" i="8" s="1"/>
  <c r="T134" i="8" s="1"/>
  <c r="T135" i="8" s="1"/>
  <c r="T136" i="8" s="1"/>
  <c r="T137" i="8" s="1"/>
  <c r="T138" i="8" s="1"/>
  <c r="T139" i="8" s="1"/>
  <c r="T140" i="8" s="1"/>
  <c r="T141" i="8" s="1"/>
  <c r="T142" i="8" s="1"/>
  <c r="T143" i="8" s="1"/>
  <c r="T144" i="8" s="1"/>
  <c r="T145" i="8" s="1"/>
  <c r="T146" i="8" s="1"/>
  <c r="T147" i="8" s="1"/>
  <c r="T148" i="8" s="1"/>
  <c r="T149" i="8" s="1"/>
  <c r="T150" i="8" s="1"/>
  <c r="T151" i="8" s="1"/>
  <c r="T152" i="8" s="1"/>
  <c r="T153" i="8" s="1"/>
  <c r="T154" i="8" s="1"/>
  <c r="T155" i="8" s="1"/>
  <c r="T156" i="8" s="1"/>
  <c r="T157" i="8" s="1"/>
  <c r="T158" i="8" s="1"/>
  <c r="T159" i="8" s="1"/>
  <c r="T160" i="8" s="1"/>
  <c r="T161" i="8" s="1"/>
  <c r="T162" i="8" s="1"/>
  <c r="T163" i="8" s="1"/>
  <c r="T164" i="8" s="1"/>
  <c r="T165" i="8" s="1"/>
  <c r="T166" i="8" s="1"/>
  <c r="T167" i="8" s="1"/>
  <c r="T168" i="8" s="1"/>
  <c r="T169" i="8" s="1"/>
  <c r="T170" i="8" s="1"/>
  <c r="T171" i="8" s="1"/>
  <c r="T172" i="8" s="1"/>
  <c r="T173" i="8" s="1"/>
  <c r="T174" i="8" s="1"/>
  <c r="T175" i="8" s="1"/>
  <c r="T176" i="8" s="1"/>
  <c r="T177" i="8" s="1"/>
  <c r="T178" i="8" s="1"/>
  <c r="T179" i="8" s="1"/>
  <c r="T180" i="8" s="1"/>
  <c r="T181" i="8" s="1"/>
  <c r="T182" i="8" s="1"/>
  <c r="T183" i="8" s="1"/>
  <c r="T184" i="8" s="1"/>
  <c r="T185" i="8" s="1"/>
  <c r="T186" i="8" s="1"/>
  <c r="T187" i="8" s="1"/>
  <c r="T188" i="8" s="1"/>
  <c r="T189" i="8" s="1"/>
  <c r="T190" i="8" s="1"/>
  <c r="T191" i="8" s="1"/>
  <c r="T192" i="8" s="1"/>
  <c r="T193" i="8" s="1"/>
  <c r="T194" i="8" s="1"/>
  <c r="T195" i="8" s="1"/>
  <c r="T196" i="8" s="1"/>
  <c r="T197" i="8" s="1"/>
  <c r="T198" i="8" s="1"/>
  <c r="T199" i="8" s="1"/>
  <c r="T200" i="8" s="1"/>
  <c r="T201" i="8" s="1"/>
  <c r="T202" i="8" s="1"/>
  <c r="T203" i="8" s="1"/>
  <c r="T204" i="8" s="1"/>
  <c r="T205" i="8" s="1"/>
  <c r="T206" i="8" s="1"/>
  <c r="T207" i="8" s="1"/>
  <c r="T208" i="8" s="1"/>
  <c r="T209" i="8" s="1"/>
  <c r="T210" i="8" s="1"/>
  <c r="T211" i="8" s="1"/>
  <c r="T212" i="8" s="1"/>
  <c r="T213" i="8" s="1"/>
  <c r="T214" i="8" s="1"/>
  <c r="T215" i="8" s="1"/>
  <c r="T216" i="8" s="1"/>
  <c r="T217" i="8" s="1"/>
  <c r="T218" i="8" s="1"/>
  <c r="T219" i="8" s="1"/>
  <c r="T220" i="8" s="1"/>
  <c r="T221" i="8" s="1"/>
  <c r="T222" i="8" s="1"/>
  <c r="T223" i="8" s="1"/>
  <c r="T224" i="8" s="1"/>
  <c r="T225" i="8" s="1"/>
  <c r="T226" i="8" s="1"/>
  <c r="T227" i="8" s="1"/>
  <c r="T228" i="8" s="1"/>
  <c r="T229" i="8" s="1"/>
  <c r="T230" i="8" s="1"/>
  <c r="T231" i="8" s="1"/>
  <c r="T232" i="8" s="1"/>
  <c r="T233" i="8" s="1"/>
  <c r="T234" i="8" s="1"/>
  <c r="T235" i="8" s="1"/>
  <c r="T236" i="8" s="1"/>
  <c r="T237" i="8" s="1"/>
  <c r="T238" i="8" s="1"/>
  <c r="T239" i="8" s="1"/>
  <c r="T240" i="8" s="1"/>
  <c r="T241" i="8" s="1"/>
  <c r="T242" i="8" s="1"/>
  <c r="T243" i="8" s="1"/>
  <c r="T244" i="8" s="1"/>
  <c r="T245" i="8" s="1"/>
  <c r="T246" i="8" s="1"/>
  <c r="T247" i="8" s="1"/>
  <c r="T248" i="8" s="1"/>
  <c r="T249" i="8" s="1"/>
  <c r="T250" i="8" s="1"/>
  <c r="T251" i="8" s="1"/>
  <c r="T252" i="8" s="1"/>
  <c r="T253" i="8" s="1"/>
  <c r="T254" i="8" s="1"/>
  <c r="T255" i="8" s="1"/>
  <c r="T256" i="8" s="1"/>
  <c r="T257" i="8" s="1"/>
  <c r="T258" i="8" s="1"/>
  <c r="T259" i="8" s="1"/>
  <c r="T260" i="8" s="1"/>
  <c r="T261" i="8" s="1"/>
  <c r="T262" i="8" s="1"/>
  <c r="V68" i="17" l="1"/>
  <c r="X48" i="17" s="1"/>
  <c r="X50" i="17" s="1"/>
  <c r="T263" i="8"/>
  <c r="T264" i="8" s="1"/>
  <c r="T265" i="8" s="1"/>
  <c r="T266" i="8" s="1"/>
  <c r="T267" i="8" s="1"/>
  <c r="T268" i="8" s="1"/>
  <c r="T269" i="8" s="1"/>
  <c r="T270" i="8" s="1"/>
  <c r="T271" i="8" s="1"/>
  <c r="T272" i="8" s="1"/>
  <c r="T273" i="8" s="1"/>
  <c r="T274" i="8" s="1"/>
  <c r="T275" i="8" s="1"/>
  <c r="T276" i="8" s="1"/>
  <c r="T277" i="8" s="1"/>
  <c r="T278" i="8" s="1"/>
  <c r="T279" i="8" s="1"/>
  <c r="T280" i="8" s="1"/>
  <c r="T281" i="8" s="1"/>
  <c r="T282" i="8" s="1"/>
  <c r="T283" i="8" s="1"/>
  <c r="T284" i="8" s="1"/>
  <c r="T285" i="8" s="1"/>
  <c r="T286" i="8" s="1"/>
  <c r="T287" i="8" s="1"/>
  <c r="T288" i="8" s="1"/>
  <c r="T289" i="8" s="1"/>
  <c r="T290" i="8" s="1"/>
  <c r="T291" i="8" s="1"/>
  <c r="T292" i="8" s="1"/>
  <c r="T293" i="8" s="1"/>
  <c r="T294" i="8" s="1"/>
  <c r="T295" i="8" s="1"/>
  <c r="T296" i="8" s="1"/>
  <c r="T297" i="8" s="1"/>
  <c r="T298" i="8" s="1"/>
  <c r="T299" i="8" s="1"/>
  <c r="T300" i="8" s="1"/>
  <c r="T301" i="8" s="1"/>
  <c r="T302" i="8" s="1"/>
  <c r="T303" i="8" s="1"/>
  <c r="T304" i="8" s="1"/>
  <c r="T305" i="8" s="1"/>
  <c r="T306" i="8" s="1"/>
  <c r="T307" i="8" s="1"/>
  <c r="T308" i="8" s="1"/>
  <c r="T309" i="8" s="1"/>
  <c r="T310" i="8" s="1"/>
  <c r="T311" i="8" s="1"/>
  <c r="T312" i="8" s="1"/>
  <c r="T313" i="8" s="1"/>
  <c r="T314" i="8" s="1"/>
  <c r="T315" i="8" s="1"/>
  <c r="T316" i="8" s="1"/>
  <c r="T317" i="8" s="1"/>
  <c r="T318" i="8" s="1"/>
  <c r="T319" i="8" s="1"/>
  <c r="T320" i="8" s="1"/>
  <c r="T321" i="8" s="1"/>
  <c r="T322" i="8" s="1"/>
  <c r="T323" i="8" s="1"/>
  <c r="T324" i="8" s="1"/>
  <c r="T325" i="8" s="1"/>
  <c r="T326" i="8" s="1"/>
  <c r="T327" i="8" s="1"/>
  <c r="T328" i="8" s="1"/>
  <c r="T329" i="8" s="1"/>
  <c r="T330" i="8" s="1"/>
  <c r="T331" i="8" s="1"/>
  <c r="T332" i="8" s="1"/>
  <c r="T333" i="8" s="1"/>
  <c r="T334" i="8" s="1"/>
  <c r="T335" i="8" s="1"/>
  <c r="T336" i="8" s="1"/>
  <c r="T337" i="8" s="1"/>
  <c r="T338" i="8" s="1"/>
  <c r="T339" i="8" s="1"/>
  <c r="T340" i="8" s="1"/>
  <c r="T341" i="8" s="1"/>
  <c r="T342" i="8" s="1"/>
  <c r="T343" i="8" s="1"/>
  <c r="T344" i="8" s="1"/>
  <c r="T345" i="8" s="1"/>
  <c r="T346" i="8" s="1"/>
  <c r="T347" i="8" s="1"/>
  <c r="T348" i="8" s="1"/>
  <c r="T349" i="8" s="1"/>
  <c r="T350" i="8" s="1"/>
  <c r="T351" i="8" s="1"/>
  <c r="T352" i="8" s="1"/>
  <c r="T353" i="8" s="1"/>
  <c r="T354" i="8" s="1"/>
  <c r="T355" i="8" s="1"/>
  <c r="T356" i="8" s="1"/>
  <c r="T357" i="8" s="1"/>
  <c r="T358" i="8" s="1"/>
  <c r="T359" i="8" s="1"/>
  <c r="T360" i="8" s="1"/>
  <c r="T361" i="8" s="1"/>
  <c r="T362" i="8" s="1"/>
  <c r="T363" i="8" s="1"/>
  <c r="T364" i="8" s="1"/>
  <c r="T365" i="8" s="1"/>
  <c r="T366" i="8" s="1"/>
  <c r="T367" i="8" s="1"/>
  <c r="T368" i="8" s="1"/>
  <c r="T369" i="8" s="1"/>
  <c r="T370" i="8" s="1"/>
  <c r="T371" i="8" s="1"/>
  <c r="T372" i="8" s="1"/>
  <c r="T373" i="8" s="1"/>
  <c r="T374" i="8" s="1"/>
  <c r="T375" i="8" s="1"/>
  <c r="T376" i="8" s="1"/>
  <c r="T377" i="8" s="1"/>
  <c r="T378" i="8" s="1"/>
  <c r="T379" i="8" s="1"/>
  <c r="T380" i="8" s="1"/>
  <c r="T381" i="8" s="1"/>
  <c r="T382" i="8" s="1"/>
  <c r="V15" i="8"/>
  <c r="X54" i="17" l="1"/>
  <c r="X56" i="17"/>
  <c r="T383" i="8"/>
  <c r="T384" i="8" s="1"/>
  <c r="T385" i="8" s="1"/>
  <c r="T386" i="8" s="1"/>
  <c r="T387" i="8" s="1"/>
  <c r="T388" i="8" s="1"/>
  <c r="T389" i="8" s="1"/>
  <c r="T390" i="8" s="1"/>
  <c r="T391" i="8" s="1"/>
  <c r="T392" i="8" s="1"/>
  <c r="T393" i="8" s="1"/>
  <c r="T394" i="8" s="1"/>
  <c r="T395" i="8" s="1"/>
  <c r="T396" i="8" s="1"/>
  <c r="T397" i="8" s="1"/>
  <c r="T398" i="8" s="1"/>
  <c r="T399" i="8" s="1"/>
  <c r="T400" i="8" s="1"/>
  <c r="T401" i="8" s="1"/>
  <c r="T402" i="8" s="1"/>
  <c r="T403" i="8" s="1"/>
  <c r="T404" i="8" s="1"/>
  <c r="T405" i="8" s="1"/>
  <c r="T406" i="8" s="1"/>
  <c r="T407" i="8" s="1"/>
  <c r="T408" i="8" s="1"/>
  <c r="T409" i="8" s="1"/>
  <c r="T410" i="8" s="1"/>
  <c r="T411" i="8" s="1"/>
  <c r="T412" i="8" s="1"/>
  <c r="T413" i="8" s="1"/>
  <c r="T414" i="8" s="1"/>
  <c r="T415" i="8" s="1"/>
  <c r="T416" i="8" s="1"/>
  <c r="T417" i="8" s="1"/>
  <c r="T418" i="8" s="1"/>
  <c r="T419" i="8" s="1"/>
  <c r="T420" i="8" s="1"/>
  <c r="T421" i="8" s="1"/>
  <c r="T422" i="8" s="1"/>
  <c r="T423" i="8" s="1"/>
  <c r="T424" i="8" s="1"/>
  <c r="T425" i="8" s="1"/>
  <c r="T426" i="8" s="1"/>
  <c r="T427" i="8" s="1"/>
  <c r="T428" i="8" s="1"/>
  <c r="T429" i="8" s="1"/>
  <c r="T430" i="8" s="1"/>
  <c r="T431" i="8" s="1"/>
  <c r="T432" i="8" s="1"/>
  <c r="T433" i="8" s="1"/>
  <c r="T434" i="8" s="1"/>
  <c r="T435" i="8" s="1"/>
  <c r="T436" i="8" s="1"/>
  <c r="T437" i="8" s="1"/>
  <c r="T438" i="8" s="1"/>
  <c r="T439" i="8" s="1"/>
  <c r="T440" i="8" s="1"/>
  <c r="T441" i="8" s="1"/>
  <c r="T442" i="8" s="1"/>
  <c r="T443" i="8" s="1"/>
  <c r="T444" i="8" s="1"/>
  <c r="T445" i="8" s="1"/>
  <c r="T446" i="8" s="1"/>
  <c r="T447" i="8" s="1"/>
  <c r="T448" i="8" s="1"/>
  <c r="T449" i="8" s="1"/>
  <c r="T450" i="8" s="1"/>
  <c r="T451" i="8" s="1"/>
  <c r="T452" i="8" s="1"/>
  <c r="T453" i="8" s="1"/>
  <c r="T454" i="8" s="1"/>
  <c r="T455" i="8" s="1"/>
  <c r="T456" i="8" s="1"/>
  <c r="T457" i="8" s="1"/>
  <c r="T458" i="8" s="1"/>
  <c r="T459" i="8" s="1"/>
  <c r="T460" i="8" s="1"/>
  <c r="T461" i="8" s="1"/>
  <c r="T462" i="8" s="1"/>
  <c r="T463" i="8" s="1"/>
  <c r="T464" i="8" s="1"/>
  <c r="T465" i="8" s="1"/>
  <c r="T466" i="8" s="1"/>
  <c r="T467" i="8" s="1"/>
  <c r="T468" i="8" s="1"/>
  <c r="T469" i="8" s="1"/>
  <c r="T470" i="8" s="1"/>
  <c r="T471" i="8" s="1"/>
  <c r="T472" i="8" s="1"/>
  <c r="T473" i="8" s="1"/>
  <c r="T474" i="8" s="1"/>
  <c r="T475" i="8" s="1"/>
  <c r="T476" i="8" s="1"/>
  <c r="T477" i="8" s="1"/>
  <c r="T478" i="8" s="1"/>
  <c r="T479" i="8" s="1"/>
  <c r="T480" i="8" s="1"/>
  <c r="T481" i="8" s="1"/>
  <c r="T482" i="8" s="1"/>
  <c r="T483" i="8" s="1"/>
  <c r="T484" i="8" s="1"/>
  <c r="T485" i="8" s="1"/>
  <c r="T486" i="8" s="1"/>
  <c r="T487" i="8" s="1"/>
  <c r="T488" i="8" s="1"/>
  <c r="T489" i="8" s="1"/>
  <c r="T490" i="8" s="1"/>
  <c r="T491" i="8" s="1"/>
  <c r="T492" i="8" s="1"/>
  <c r="T493" i="8" s="1"/>
  <c r="T494" i="8" s="1"/>
  <c r="T495" i="8" s="1"/>
  <c r="T496" i="8" s="1"/>
  <c r="T497" i="8" s="1"/>
  <c r="T498" i="8" s="1"/>
  <c r="T499" i="8" s="1"/>
  <c r="T500" i="8" s="1"/>
  <c r="T501" i="8" s="1"/>
  <c r="T502" i="8" s="1"/>
  <c r="V17" i="8" s="1"/>
  <c r="V16" i="8"/>
  <c r="X58" i="17" l="1"/>
  <c r="X60" i="17" s="1"/>
  <c r="X62" i="17" l="1"/>
  <c r="X64" i="17" l="1"/>
  <c r="X66" i="17" s="1"/>
  <c r="X68" i="17" l="1"/>
  <c r="Z48" i="17" s="1"/>
  <c r="Z50" i="17" s="1"/>
  <c r="Z56" i="17" l="1"/>
  <c r="Z54" i="17"/>
  <c r="AB56" i="17" l="1"/>
  <c r="Z58" i="17"/>
  <c r="Z60" i="17" s="1"/>
  <c r="Z62" i="17" l="1"/>
  <c r="AB60" i="17" s="1"/>
  <c r="Z64" i="17" l="1"/>
  <c r="Z66" i="17" s="1"/>
  <c r="AB62" i="17"/>
  <c r="AB66" i="17" l="1"/>
  <c r="AB68" i="17" s="1"/>
  <c r="AB58" i="17"/>
  <c r="Z68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sharedStrings.xml><?xml version="1.0" encoding="utf-8"?>
<sst xmlns="http://schemas.openxmlformats.org/spreadsheetml/2006/main" count="782" uniqueCount="484">
  <si>
    <t>years</t>
  </si>
  <si>
    <t>x</t>
  </si>
  <si>
    <t>=</t>
  </si>
  <si>
    <t>SIMPLE-IRA</t>
  </si>
  <si>
    <t>SEP-IRA</t>
  </si>
  <si>
    <t>Personal Accounts</t>
  </si>
  <si>
    <t>Business Accounts</t>
  </si>
  <si>
    <t>Where to establish</t>
  </si>
  <si>
    <t>On-line, financial planner, insurance agent, bank, credit union</t>
  </si>
  <si>
    <t>Through your employer</t>
  </si>
  <si>
    <t>Maximum Annual Contribution</t>
  </si>
  <si>
    <t>Deadline for Establishing</t>
  </si>
  <si>
    <t>April 15 of succeeding tax year</t>
  </si>
  <si>
    <t>By the end of the tax year</t>
  </si>
  <si>
    <t>Required Minimum Distribution</t>
  </si>
  <si>
    <t>Self-Employed Business Accounts</t>
  </si>
  <si>
    <t>Deadline for Making Contributions</t>
  </si>
  <si>
    <t>Your company's tax-filing deadline, including extensions</t>
  </si>
  <si>
    <t>Required Contribution to Employees' Accounts</t>
  </si>
  <si>
    <t>Required Minimum Annual Contribution to Your Account</t>
  </si>
  <si>
    <t>Your company's tax-filing deadline, including extensions (Oct 15 at the latest)</t>
  </si>
  <si>
    <t>None</t>
  </si>
  <si>
    <t>Same percentage  of salary contributed to your account</t>
  </si>
  <si>
    <t>NA</t>
  </si>
  <si>
    <t>Pre-Tax Solo 401(k)</t>
  </si>
  <si>
    <t>Non-Deductible Traditional IRA</t>
  </si>
  <si>
    <t>Reduces your taxable income (subject to phase-out limits)</t>
  </si>
  <si>
    <t>All contributions are after-tax.  No impact on your income taxes.</t>
  </si>
  <si>
    <t>Subject to employer's stated policy</t>
  </si>
  <si>
    <t>All withdrawals are taxed as ordinary income</t>
  </si>
  <si>
    <t>All withdrawals are tax-free</t>
  </si>
  <si>
    <t>Earliest Age of Withdrawal without Penalty</t>
  </si>
  <si>
    <t>Tax Treatment of Annual Contributions</t>
  </si>
  <si>
    <t>Starting at age 70 1/2; Amount is based on Life Expectancy Tables</t>
  </si>
  <si>
    <t>2-3% of Employee's Salary</t>
  </si>
  <si>
    <t>April 15 of succeeding tax year (April 15, 2019 for tax year 2018)</t>
  </si>
  <si>
    <t>Contributions come out of each paycheck</t>
  </si>
  <si>
    <t>Age 59 1/2</t>
  </si>
  <si>
    <t xml:space="preserve">Age 59 1/2 </t>
  </si>
  <si>
    <t>Tax Treatment of Withdrawals after Age 59 1/2</t>
  </si>
  <si>
    <t>Traditional IRA    (Pre-Tax)</t>
  </si>
  <si>
    <t>Roth                (Post-Tax)      Solo 401(k)</t>
  </si>
  <si>
    <t>Roth (Post-Tax) 401(k), 403(b), 457</t>
  </si>
  <si>
    <t>Pre-Tax 401(k), 403(b), 457</t>
  </si>
  <si>
    <t>Reduces your taxable income (subject to phase-out limits).</t>
  </si>
  <si>
    <t>Retirement Planning Worksheet</t>
  </si>
  <si>
    <t>Developed by Dr. Alex White, Virginia Tech</t>
  </si>
  <si>
    <t>Years Until Retirement</t>
  </si>
  <si>
    <t>Years In Retirement</t>
  </si>
  <si>
    <t>Pre-Retirement Nominal Inflation Rate</t>
  </si>
  <si>
    <t>Pre-Retirement Nominal Rate of Return</t>
  </si>
  <si>
    <t>Retirement Nominal Inflation Rate</t>
  </si>
  <si>
    <t xml:space="preserve">Retirement Nominal Rate of Return </t>
  </si>
  <si>
    <t>Desired Amount Remaining at Death (Nominal)</t>
  </si>
  <si>
    <t>1.  Annual Pre-tax Retirement Living Expenses    (in today's dollars)</t>
  </si>
  <si>
    <t>(You'll need roughly 60-80 percent of current income or 80-120 percent of current family living expenses)</t>
  </si>
  <si>
    <t>2.  Expected Annual Social Security Benefits    (in today's dollars)</t>
  </si>
  <si>
    <t>(See table below for estimates of annual Social Security Benefits)</t>
  </si>
  <si>
    <t>3.  Expected Annual Pension Income    (in today's dollars)</t>
  </si>
  <si>
    <t>(To estimate - multiply your salary by total years of service (at time of retirement).  Multiply this result by 0.012)</t>
  </si>
  <si>
    <t xml:space="preserve"> </t>
  </si>
  <si>
    <t xml:space="preserve">       Additional Annual Savings Needed to Reach Your Retirement Goal</t>
  </si>
  <si>
    <t xml:space="preserve">       Additional Monthly Savings Needed to Reach Your Retirement Goal</t>
  </si>
  <si>
    <t xml:space="preserve">Years to Retirement </t>
  </si>
  <si>
    <t xml:space="preserve">Factor A </t>
  </si>
  <si>
    <t xml:space="preserve">Factor B  </t>
  </si>
  <si>
    <t>Factor C</t>
  </si>
  <si>
    <t>Factor D</t>
  </si>
  <si>
    <t>Years in Retirement</t>
  </si>
  <si>
    <t>Factor X</t>
  </si>
  <si>
    <t>Estimate of Annual Social Security Income (2004)</t>
  </si>
  <si>
    <t>Average Annual Salary</t>
  </si>
  <si>
    <t>Worker</t>
  </si>
  <si>
    <t>Worker with non-working spouse</t>
  </si>
  <si>
    <t>Modified from a Money Magazine article (circa 1990).  Original author &amp; citation are unknown.</t>
  </si>
  <si>
    <t>(This includes annual contributions to ORP, TSP, 401(k), 403(b), 457, IRAs, SEPs, and Keogh retirement plans)</t>
  </si>
  <si>
    <t>3.  Expected Annual Income From Other Sources   (in today's dollars)</t>
  </si>
  <si>
    <t>4.  Expected Annual Retirement Income Needed From Savings</t>
  </si>
  <si>
    <t>(Line 1 - Line 2 - Line 3)</t>
  </si>
  <si>
    <t>5.  Future Value of Additional Income Needed</t>
  </si>
  <si>
    <t>6.  Amount Needed at Retirement to Generate Additional Income</t>
  </si>
  <si>
    <t>7.  Current Value of Savings</t>
  </si>
  <si>
    <t>8.  Expected Future Value of Current Savings</t>
  </si>
  <si>
    <t xml:space="preserve">9.  Average Annual Contributions to Retirement Investments </t>
  </si>
  <si>
    <t>10.  Expected Future Value of Current Annual Contributions</t>
  </si>
  <si>
    <t>11.  Total Retirement Capital You Need to Accumulate</t>
  </si>
  <si>
    <t>(Line 6 - Line 8 - Line 10)</t>
  </si>
  <si>
    <t>Family Living Budget</t>
  </si>
  <si>
    <t>Planned</t>
  </si>
  <si>
    <t>Estimate</t>
  </si>
  <si>
    <t>Gross Income:</t>
  </si>
  <si>
    <t>Owner Withdrawal (Farm)</t>
  </si>
  <si>
    <t>Salary &amp; Wages (Non-farm)</t>
  </si>
  <si>
    <t>Other</t>
  </si>
  <si>
    <t>A. Gross Income</t>
  </si>
  <si>
    <t>Income Taxes:</t>
  </si>
  <si>
    <t>Federal, state, &amp; local income taxes</t>
  </si>
  <si>
    <t>Gross Income x 20%</t>
  </si>
  <si>
    <t>FICA (7.65%)</t>
  </si>
  <si>
    <t>Gross Income x 7.65%</t>
  </si>
  <si>
    <t>B. Total Income &amp; Payroll Taxes</t>
  </si>
  <si>
    <t>C. Take-home Pay</t>
  </si>
  <si>
    <t>Line A - B</t>
  </si>
  <si>
    <t>Planned Savings &amp; Investments:</t>
  </si>
  <si>
    <t>Goal:  &gt; Gross Income x 5-10%</t>
  </si>
  <si>
    <t>Emergency Fund (3-6 months)</t>
  </si>
  <si>
    <t>Years to Retirement</t>
  </si>
  <si>
    <t>Retirement</t>
  </si>
  <si>
    <t xml:space="preserve">See Next Page for </t>
  </si>
  <si>
    <t>$300/month with 401(k) match</t>
  </si>
  <si>
    <t>2 mil</t>
  </si>
  <si>
    <t>Education</t>
  </si>
  <si>
    <t>Rough Estimates</t>
  </si>
  <si>
    <t>2.5 mil</t>
  </si>
  <si>
    <t>D. Total Savings &amp; Investments</t>
  </si>
  <si>
    <t>3 mil</t>
  </si>
  <si>
    <t>Expenses:</t>
  </si>
  <si>
    <t>Rent or Mortgage Payment (PITI)</t>
  </si>
  <si>
    <t>Goal: &lt; Gross Income x 30%</t>
  </si>
  <si>
    <t xml:space="preserve">Consumer Debt Payments </t>
  </si>
  <si>
    <t>Goal: &lt; Gross Income x 10%</t>
  </si>
  <si>
    <t xml:space="preserve">  Car Payments</t>
  </si>
  <si>
    <t xml:space="preserve">  Outstanding Credit Card Balances</t>
  </si>
  <si>
    <t xml:space="preserve">  Student Loans</t>
  </si>
  <si>
    <t xml:space="preserve">  Other Consumer Debt Payments</t>
  </si>
  <si>
    <t>Utilities:</t>
  </si>
  <si>
    <t xml:space="preserve">Goal: &lt; Gross Income x 5% </t>
  </si>
  <si>
    <t xml:space="preserve">  Phone, Internet</t>
  </si>
  <si>
    <t xml:space="preserve">  Electric, Gas, Water</t>
  </si>
  <si>
    <t xml:space="preserve">  Other</t>
  </si>
  <si>
    <t>Groceries + Food Away From Home</t>
  </si>
  <si>
    <t>Average:  $250-$300/adult</t>
  </si>
  <si>
    <t>Gas, Oil, Repairs</t>
  </si>
  <si>
    <t>Average:  Gross Income x 3%</t>
  </si>
  <si>
    <t>Insurance Premiums:</t>
  </si>
  <si>
    <t xml:space="preserve">  Life</t>
  </si>
  <si>
    <t>$50/month</t>
  </si>
  <si>
    <t xml:space="preserve">  Auto</t>
  </si>
  <si>
    <t xml:space="preserve">  Health</t>
  </si>
  <si>
    <t>$400/person/month</t>
  </si>
  <si>
    <t xml:space="preserve">  Disability</t>
  </si>
  <si>
    <t xml:space="preserve">  Renter's Insurance</t>
  </si>
  <si>
    <t>$10/month</t>
  </si>
  <si>
    <t>Personal Items</t>
  </si>
  <si>
    <t>Medical Expenses</t>
  </si>
  <si>
    <t>Average:  Gross Income x 5-10%</t>
  </si>
  <si>
    <t>Taxes:</t>
  </si>
  <si>
    <t xml:space="preserve">  Personal Property (autos, boats))</t>
  </si>
  <si>
    <t>Child Care</t>
  </si>
  <si>
    <t>Average:  $1,500/child/month</t>
  </si>
  <si>
    <t>Entertainment</t>
  </si>
  <si>
    <t>Miscellaneous</t>
  </si>
  <si>
    <t>Goal:  &lt; $100/month</t>
  </si>
  <si>
    <t>E. Subtotal of Expenses</t>
  </si>
  <si>
    <t>F.  Unplanned Expenses (Fudge Factor)</t>
  </si>
  <si>
    <t>G. Total Cash Expenses</t>
  </si>
  <si>
    <t>Monthly Surplus</t>
  </si>
  <si>
    <t>Line C - Line D - Line G</t>
  </si>
  <si>
    <t>Savings Goals</t>
  </si>
  <si>
    <t>Emergency Fund</t>
  </si>
  <si>
    <t>Your Goal (Monthly Expenses x 3-6 months)</t>
  </si>
  <si>
    <t>Current Amount in Emergency Savings</t>
  </si>
  <si>
    <t>Amount Needed</t>
  </si>
  <si>
    <t>Line 1 - Line 2</t>
  </si>
  <si>
    <t>Desired Number of Months to Reach Your Goal</t>
  </si>
  <si>
    <t>Average Monthly Addition to Emergency Fund</t>
  </si>
  <si>
    <t>Line 3 / Line 4</t>
  </si>
  <si>
    <t>Retirement Investments</t>
  </si>
  <si>
    <t>To Reach $3 million</t>
  </si>
  <si>
    <t>With no matching contributions</t>
  </si>
  <si>
    <t>With Matching</t>
  </si>
  <si>
    <t>In 20 years</t>
  </si>
  <si>
    <t>$4,000/month</t>
  </si>
  <si>
    <t>$3,600/month</t>
  </si>
  <si>
    <t>In 30 years</t>
  </si>
  <si>
    <t>$1,500/month</t>
  </si>
  <si>
    <t>$1,200/month</t>
  </si>
  <si>
    <t>In 40 years</t>
  </si>
  <si>
    <t>$600/month</t>
  </si>
  <si>
    <t>$400/month</t>
  </si>
  <si>
    <t>Assumes:</t>
  </si>
  <si>
    <t>No current retirement investments</t>
  </si>
  <si>
    <t>Goal of $3 million for your household at day of retirement</t>
  </si>
  <si>
    <t>8% annual rate of return on investments</t>
  </si>
  <si>
    <t>Increase your contribution each year by the rate of inflation</t>
  </si>
  <si>
    <t>Education Investments</t>
  </si>
  <si>
    <t xml:space="preserve">To reach: </t>
  </si>
  <si>
    <t>In 5 years</t>
  </si>
  <si>
    <t>$350/month</t>
  </si>
  <si>
    <t>$700/month</t>
  </si>
  <si>
    <t>$1,400/month</t>
  </si>
  <si>
    <t>In 10 years</t>
  </si>
  <si>
    <t>$150/month</t>
  </si>
  <si>
    <t>$300/month</t>
  </si>
  <si>
    <t>In 15 years</t>
  </si>
  <si>
    <t>$85/month</t>
  </si>
  <si>
    <t>$175/month</t>
  </si>
  <si>
    <t>6% annual rate of return</t>
  </si>
  <si>
    <t>College tuition in 15 years will cost $50,000/year</t>
  </si>
  <si>
    <t xml:space="preserve">  (That's roughly equivalent to current tuition of $20,000/year)</t>
  </si>
  <si>
    <t>For "Monthly Expenses" use Line G from above</t>
  </si>
  <si>
    <t>International Bonds</t>
  </si>
  <si>
    <t>Total Portfolio</t>
  </si>
  <si>
    <t>Retirement Asset Allocation Worksheet</t>
  </si>
  <si>
    <t>Your Current Age</t>
  </si>
  <si>
    <t>Very Conservative</t>
  </si>
  <si>
    <t>Conservative</t>
  </si>
  <si>
    <t>Moderately Conservative</t>
  </si>
  <si>
    <t>Moderate</t>
  </si>
  <si>
    <t>Moderately Aggressive</t>
  </si>
  <si>
    <t>Aggressive</t>
  </si>
  <si>
    <t>Very Aggressive</t>
  </si>
  <si>
    <t>Large-Cap</t>
  </si>
  <si>
    <t xml:space="preserve">International </t>
  </si>
  <si>
    <t>Precious Metals</t>
  </si>
  <si>
    <t>Real Estate</t>
  </si>
  <si>
    <t>Your Risk Attitude</t>
  </si>
  <si>
    <t>Cash, CDs</t>
  </si>
  <si>
    <t>Short-term Bonds</t>
  </si>
  <si>
    <t>Guaranteed Pension or Annuities</t>
  </si>
  <si>
    <t>Subtotal</t>
  </si>
  <si>
    <t>Equities</t>
  </si>
  <si>
    <t>Fixed</t>
  </si>
  <si>
    <t>Total Portfolio Allocated</t>
  </si>
  <si>
    <t>Equities Low</t>
  </si>
  <si>
    <t>Equities Hi</t>
  </si>
  <si>
    <t>Fixed Lo</t>
  </si>
  <si>
    <t>Fixed Hi</t>
  </si>
  <si>
    <t>&lt; 3%</t>
  </si>
  <si>
    <t>5-15%</t>
  </si>
  <si>
    <t>&lt;10-20%</t>
  </si>
  <si>
    <t>&lt; 10%</t>
  </si>
  <si>
    <t>&lt; 10-20%</t>
  </si>
  <si>
    <t>This should total to 100%</t>
  </si>
  <si>
    <t>Total Bond Market Fund</t>
  </si>
  <si>
    <t>5-10%</t>
  </si>
  <si>
    <t>Target</t>
  </si>
  <si>
    <t>Your Portfolio</t>
  </si>
  <si>
    <t>US Stock Index Fund (ex. Russell 3000, S&amp;P 500)</t>
  </si>
  <si>
    <t>International Fund (ex. EAFE, etc.)</t>
  </si>
  <si>
    <t>Real Estate (ex. REITs, Rental Prop., Farm/Bus. Assets, etc.)</t>
  </si>
  <si>
    <t>Your farm/business assets to be sold</t>
  </si>
  <si>
    <t>Large Cap</t>
  </si>
  <si>
    <t>Large Cap Lo</t>
  </si>
  <si>
    <t>Large Cap Hi</t>
  </si>
  <si>
    <t>Small Cap Lo</t>
  </si>
  <si>
    <t>Small Cap Hi</t>
  </si>
  <si>
    <t>Small Cap</t>
  </si>
  <si>
    <t>Small-Cap/Mid-Cap</t>
  </si>
  <si>
    <t>Intermediate/Long Term Bonds</t>
  </si>
  <si>
    <t>---</t>
  </si>
  <si>
    <t>ST Bond Lo</t>
  </si>
  <si>
    <t>ST Bond Hi</t>
  </si>
  <si>
    <t>LT Bond Lo</t>
  </si>
  <si>
    <t>LT Bond Hi</t>
  </si>
  <si>
    <t>ST Bond</t>
  </si>
  <si>
    <t>LT Bond</t>
  </si>
  <si>
    <t>Note:  Your allocation will depend on YOUR goals and YOUR risk tolerance.  Please use this worksheet as a general guide.  Consult a financial expert before making any investment decisions.</t>
  </si>
  <si>
    <t>A. "1-Stop Investing"</t>
  </si>
  <si>
    <t>B. "4 Mutual Fund Investing"</t>
  </si>
  <si>
    <t>C. "A More Complicated Investment Method"</t>
  </si>
  <si>
    <t>Roth IRA      (Post-Tax)</t>
  </si>
  <si>
    <t>$0  No contributions allowed after age 70 1/2</t>
  </si>
  <si>
    <t>(This includes all existing retirement savings.  You may include up to 1/2 of your equity in your house and/or other business assets if you expect to sell these assets to fund your retirement)</t>
  </si>
  <si>
    <t>= Estimated Cost of Living in Year 1 of Retirement</t>
  </si>
  <si>
    <t>Estimating Your Cost of Living in Year 1 of Retirement</t>
  </si>
  <si>
    <t>+</t>
  </si>
  <si>
    <t>(From continued employment, lease of assets, pension income, etc.)</t>
  </si>
  <si>
    <t>Total</t>
  </si>
  <si>
    <t>Cash Flow Statement</t>
  </si>
  <si>
    <t>For the Year:</t>
  </si>
  <si>
    <t>Category</t>
  </si>
  <si>
    <t>Qtr 1</t>
  </si>
  <si>
    <t>Qtr 2</t>
  </si>
  <si>
    <t>Qtr 3</t>
  </si>
  <si>
    <t>Qtr 4</t>
  </si>
  <si>
    <t>Cash Inflows:</t>
  </si>
  <si>
    <t>Sales Revenues: Enterprise A</t>
  </si>
  <si>
    <t>Sales Revenues: Enterprise B</t>
  </si>
  <si>
    <t>Sales Revenues: Enterprise C</t>
  </si>
  <si>
    <t>Revenue from Custom Work</t>
  </si>
  <si>
    <t>Other Cash Inflows (Transfers, Misc., etc.)</t>
  </si>
  <si>
    <t>Non-Farm Income</t>
  </si>
  <si>
    <t>A</t>
  </si>
  <si>
    <t>Total Cash Inflows</t>
  </si>
  <si>
    <t>Cash Outflows:</t>
  </si>
  <si>
    <t>Rows 16-39 can come directly from your Schedule F tax form</t>
  </si>
  <si>
    <t>Car &amp; Truck Expenses</t>
  </si>
  <si>
    <t>Do Not include your annual Depreciation &amp; Section 179 Expense from your Schedule F.</t>
  </si>
  <si>
    <t>Chemicals</t>
  </si>
  <si>
    <t>Conservation Expenses</t>
  </si>
  <si>
    <t>Custom Hire</t>
  </si>
  <si>
    <t>Employee Benefits</t>
  </si>
  <si>
    <t>Feed Purchased</t>
  </si>
  <si>
    <t>Fertilizer &amp; Lime</t>
  </si>
  <si>
    <t>Freight &amp; Trucking</t>
  </si>
  <si>
    <t>Gasoline, fuel, oil</t>
  </si>
  <si>
    <t>Insurance</t>
  </si>
  <si>
    <t>Labor hired</t>
  </si>
  <si>
    <t>Pension &amp; Profit-Sharing</t>
  </si>
  <si>
    <t>Rent or lease - M&amp;E</t>
  </si>
  <si>
    <t xml:space="preserve">Rent/lease - other </t>
  </si>
  <si>
    <t>Repairs</t>
  </si>
  <si>
    <t>Seeds &amp; Plants Purchased</t>
  </si>
  <si>
    <t>Storage &amp; Warehousing</t>
  </si>
  <si>
    <t>Supplies Purchased</t>
  </si>
  <si>
    <t>Taxes (property)</t>
  </si>
  <si>
    <t>Utilities</t>
  </si>
  <si>
    <t>Vet, breeding, medicine</t>
  </si>
  <si>
    <t>Cash Transfers (to other accounts)</t>
  </si>
  <si>
    <t>Capital Purchases (Cash)</t>
  </si>
  <si>
    <t>Principal Payments - Term Debt</t>
  </si>
  <si>
    <t>Interest Payments - Term Debt</t>
  </si>
  <si>
    <t>Family Living Expenses</t>
  </si>
  <si>
    <t>Income Taxes (including SE &amp; Payroll taxes)</t>
  </si>
  <si>
    <t>B</t>
  </si>
  <si>
    <t>Total Cash Outflows</t>
  </si>
  <si>
    <t>C</t>
  </si>
  <si>
    <t>Net Cash Flow</t>
  </si>
  <si>
    <t>(Line A - Line B)</t>
  </si>
  <si>
    <t>(A - B)</t>
  </si>
  <si>
    <t>D</t>
  </si>
  <si>
    <t>Beginning Cash Balance</t>
  </si>
  <si>
    <t>(D 1)</t>
  </si>
  <si>
    <t>E</t>
  </si>
  <si>
    <t>Unadjusted Cash Balance</t>
  </si>
  <si>
    <t>(Line C + Line D)</t>
  </si>
  <si>
    <t>(C + D)</t>
  </si>
  <si>
    <t>F</t>
  </si>
  <si>
    <t>Mininum Balance Desired</t>
  </si>
  <si>
    <t>G</t>
  </si>
  <si>
    <t>Cash Avail. to Repay Operating Loan</t>
  </si>
  <si>
    <t>(If E &gt; F, E - F, 0)</t>
  </si>
  <si>
    <t>H</t>
  </si>
  <si>
    <t>Operating Loan Needed</t>
  </si>
  <si>
    <t>(If F &gt; E, F - E, 0)</t>
  </si>
  <si>
    <t>(H1+H2+H3+H4)</t>
  </si>
  <si>
    <t>I</t>
  </si>
  <si>
    <t>Cumulative Operating Loan Balance</t>
  </si>
  <si>
    <t>(Existing Op Loan - Op Loan Principal Paid in previous qtr. + Line H )</t>
  </si>
  <si>
    <t>(I4 - M4)</t>
  </si>
  <si>
    <t>J</t>
  </si>
  <si>
    <t>Accrued Interest on Operating Loan</t>
  </si>
  <si>
    <t>(I x Int Rate/4 + Acc Int from previous qtr - Op. Interest Paid in previous qtr.</t>
  </si>
  <si>
    <t>(J4 - K4)</t>
  </si>
  <si>
    <t>K</t>
  </si>
  <si>
    <t>Interest Paid on Operating Loan</t>
  </si>
  <si>
    <t>(If G &gt; J, J, G)</t>
  </si>
  <si>
    <t>(K1+K2+K3+K4)</t>
  </si>
  <si>
    <t>L</t>
  </si>
  <si>
    <t>Cash Available to Repay Op Loan Principal</t>
  </si>
  <si>
    <t>(G - K)</t>
  </si>
  <si>
    <t>M</t>
  </si>
  <si>
    <t>Operating Loan Principal Repaid</t>
  </si>
  <si>
    <t>(If L &gt; I, I, L)</t>
  </si>
  <si>
    <t>(M1+M2+M3+M4)</t>
  </si>
  <si>
    <t>N</t>
  </si>
  <si>
    <t>Ending Cash Balance</t>
  </si>
  <si>
    <t>(Line E + H - K - M)</t>
  </si>
  <si>
    <t>(E + H - K - M)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</si>
  <si>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</si>
  <si>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</si>
  <si>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</si>
  <si>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</si>
  <si>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</si>
  <si>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</si>
  <si>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</si>
  <si>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</si>
  <si>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</si>
  <si>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</si>
  <si>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</si>
  <si>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</si>
  <si>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(I x Int Rate/12 + Acc Int from previous month - Op. Interest Paid in previous month.</t>
  </si>
  <si>
    <t>(Existing Op Loan - Op Loan Principal Paid in previous month + Line H )</t>
  </si>
  <si>
    <t>Fudge Factor %</t>
  </si>
  <si>
    <t>Sale of Market Lambs</t>
  </si>
  <si>
    <t>Sale of culls</t>
  </si>
  <si>
    <t>Sale of wool</t>
  </si>
  <si>
    <t>Marketing</t>
  </si>
  <si>
    <t>Line E + Line F</t>
  </si>
  <si>
    <t>Combined maximum of 100% of earnings up to $6,000 ($7,000 for those over age 50).  Subject to phase-out limits based on Adjusted Gross Income</t>
  </si>
  <si>
    <t>A. Total Income Tax &amp; Payroll Expenses</t>
  </si>
  <si>
    <t>B. + Total Expenses (Line G from budget)</t>
  </si>
  <si>
    <t>C. = Total Cash Needs</t>
  </si>
  <si>
    <t>D. Years Until Retirement</t>
  </si>
  <si>
    <t>E. Expected Annual Inflation Rate Until Retirement</t>
  </si>
  <si>
    <t>Line C x (1 + Line E)^Line D</t>
  </si>
  <si>
    <t>Sunday</t>
  </si>
  <si>
    <t>Monday</t>
  </si>
  <si>
    <t>Tuesday</t>
  </si>
  <si>
    <t>Wednesday</t>
  </si>
  <si>
    <t>Thursday</t>
  </si>
  <si>
    <t>Friday</t>
  </si>
  <si>
    <t>Saturday</t>
  </si>
  <si>
    <t>Notes/Reminders:</t>
  </si>
  <si>
    <t xml:space="preserve">Daily Expense Tracker </t>
  </si>
  <si>
    <r>
      <rPr>
        <b/>
        <sz val="12"/>
        <color theme="1"/>
        <rFont val="Calibri"/>
        <family val="2"/>
        <scheme val="minor"/>
      </rPr>
      <t xml:space="preserve"> Directions:</t>
    </r>
    <r>
      <rPr>
        <sz val="12"/>
        <color theme="1"/>
        <rFont val="Calibri"/>
        <family val="2"/>
        <scheme val="minor"/>
      </rPr>
      <t xml:space="preserve"> Record EVERYTHING you spend each day for the week, whether by cash, check, debit card, credit card, etc.</t>
    </r>
  </si>
  <si>
    <t>Rows 16-38 can come directly from your Schedule F tax form</t>
  </si>
  <si>
    <t>Rows 16-37 can come directly from your Schedule F tax form</t>
  </si>
  <si>
    <t>Basic Chart of Retirement Accounts (2021)</t>
  </si>
  <si>
    <t>$13,500  ($3,000 catch-up if over age 50)</t>
  </si>
  <si>
    <t>The lesser of 20% of earnings or $58,000 for owner; 25% for employees</t>
  </si>
  <si>
    <t>Up to $58,000</t>
  </si>
  <si>
    <t>Combined maximum of $58,000</t>
  </si>
  <si>
    <t>Up to $19,500 ($26,000 for those over age 50)</t>
  </si>
  <si>
    <t>Combined maximum of $19,500 ($26,000 for those over age 50)</t>
  </si>
  <si>
    <t>Cash to Accrual Worksheet</t>
  </si>
  <si>
    <t>Farm Cash Receipts (from Schedule F)</t>
  </si>
  <si>
    <t>Sale Price</t>
  </si>
  <si>
    <t>minus</t>
  </si>
  <si>
    <t>Book Value</t>
  </si>
  <si>
    <t>+ Gains/losses on sale of cull breeding livestock</t>
  </si>
  <si>
    <t>+ Gain/losses on sale of capital assets</t>
  </si>
  <si>
    <t>+ Government Payments Received*</t>
  </si>
  <si>
    <t>+ Insurance Proceeds*</t>
  </si>
  <si>
    <t>+ Other Farm Income*</t>
  </si>
  <si>
    <t>Plus: Changes in Current Assets</t>
  </si>
  <si>
    <t>Ending</t>
  </si>
  <si>
    <t>Beginning</t>
  </si>
  <si>
    <t>+ Change in Value of Inventories Held for Sale</t>
  </si>
  <si>
    <t>+ Change in Value of Homegrown Feeds</t>
  </si>
  <si>
    <t>+ Changes in Accounts Receivable</t>
  </si>
  <si>
    <t>= Gross Revenues (Accrual-Adjusted)   (Line A)</t>
  </si>
  <si>
    <t>Cash-Based Operating Expenses (Total Expenses from Schedule F)</t>
  </si>
  <si>
    <t>- Schedule F Depreciation Expense</t>
  </si>
  <si>
    <t>-</t>
  </si>
  <si>
    <t>= Cash Farm Operating Expenses</t>
  </si>
  <si>
    <t>+ Management Depreciation Expense**</t>
  </si>
  <si>
    <t>Plus: Changes in Current Liabilities</t>
  </si>
  <si>
    <t xml:space="preserve">+ Changes in Accounts Payable </t>
  </si>
  <si>
    <t>+ Changes in Taxes Payable</t>
  </si>
  <si>
    <t xml:space="preserve">+ Changes in Notes Payable </t>
  </si>
  <si>
    <t xml:space="preserve">+ Changes in Accrued Interest </t>
  </si>
  <si>
    <t>+ Changes in other Accrued Expenses</t>
  </si>
  <si>
    <t>Minus: Changes in Current Assets</t>
  </si>
  <si>
    <t>- Changes in Pre-paid Expenses</t>
  </si>
  <si>
    <t xml:space="preserve">- Changes in Supplies </t>
  </si>
  <si>
    <t>- Changes in Purchased Feed Inventories</t>
  </si>
  <si>
    <t>- Changes in Cash Invested in Growing Crops</t>
  </si>
  <si>
    <t>= Total Farm Expenses (Accrual-Adjusted)    (Line B)</t>
  </si>
  <si>
    <t>Accrual Adjusted Net Farm Income   (Line A - Line B)</t>
  </si>
  <si>
    <t>Cash-Based Net Farm Income (Schedule F)</t>
  </si>
  <si>
    <t>Difference in Net Farm Income due to Accounting Methods (Accrual - Cash)</t>
  </si>
  <si>
    <t>*  If not included on Schedule F</t>
  </si>
  <si>
    <t>** Use your best estimate of the annual depreciation of your assets.  Do not include Section 179 Expenses.</t>
  </si>
  <si>
    <t>Modified from the worksheets developed by Dr. Peter Barry &amp; Dr. Paul Ellinger:  Financial Management in Agriculture, 7th Edition, Prentice Hall, Boston 2021</t>
  </si>
  <si>
    <t>Doc White's Handy-Dandy Financial Ratio Calculator</t>
  </si>
  <si>
    <t>Balance Sheet Information</t>
  </si>
  <si>
    <t>Year 1</t>
  </si>
  <si>
    <t>Year 2</t>
  </si>
  <si>
    <t>Financial Ratios</t>
  </si>
  <si>
    <t>Current Assets</t>
  </si>
  <si>
    <t>Liquidity</t>
  </si>
  <si>
    <t>Green</t>
  </si>
  <si>
    <t>Yellow</t>
  </si>
  <si>
    <t>Red</t>
  </si>
  <si>
    <t>Total Assets</t>
  </si>
  <si>
    <t>Current Ratio</t>
  </si>
  <si>
    <t>Current Liabilities</t>
  </si>
  <si>
    <t>Working Capital / Expenses</t>
  </si>
  <si>
    <t>Total Liabilities</t>
  </si>
  <si>
    <t>Solvency</t>
  </si>
  <si>
    <t>Equity (Net Worth)</t>
  </si>
  <si>
    <t>Equity /Asset Ratio</t>
  </si>
  <si>
    <t>Repayment Ability</t>
  </si>
  <si>
    <t>Income Statement Information:</t>
  </si>
  <si>
    <t>Debt Coverage Ratio</t>
  </si>
  <si>
    <t xml:space="preserve">Total Revenues </t>
  </si>
  <si>
    <t>Term Debt / EBITDA</t>
  </si>
  <si>
    <t>Total Expenses</t>
  </si>
  <si>
    <t>Profitability</t>
  </si>
  <si>
    <t>Interest Expense</t>
  </si>
  <si>
    <t>Rate of Return on Assets (ROA)</t>
  </si>
  <si>
    <t>Depreciation Expense</t>
  </si>
  <si>
    <t>Financial Efficiency</t>
  </si>
  <si>
    <t xml:space="preserve">Net Farm Income </t>
  </si>
  <si>
    <t>Operating Expense / Receipt Ratio</t>
  </si>
  <si>
    <t>EBITDA</t>
  </si>
  <si>
    <t>Total Revenues / Total Assets</t>
  </si>
  <si>
    <t>Other Information:</t>
  </si>
  <si>
    <t>Family Living Expense or Owner Withdrawal</t>
  </si>
  <si>
    <t>Total Annual P&amp;I Payments</t>
  </si>
  <si>
    <t>Please use information from your accrual-adjusted income statements instead of your tax records.</t>
  </si>
  <si>
    <t>The author is not responsible for decisions that you make based on this spreadsheet.  It is for educational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</si>
</sst>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&quot;$&quot;#,##0"/>
    <numFmt numFmtId="166" formatCode="0.0"/>
    <numFmt numFmtId="167" formatCode="0.00%\ \A\P\R"/>
    <numFmt numFmtId="168" formatCode="#,##0.0_);\(#,##0.0\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12"/>
      <name val="Arial"/>
      <family val="2"/>
    </font>
    <font>
      <b/>
      <sz val="11"/>
      <color indexed="16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name val="Arial"/>
      <family val="2"/>
    </font>
    <font>
      <b/>
      <sz val="18"/>
      <color indexed="9"/>
      <name val="Arial"/>
      <family val="2"/>
    </font>
    <font>
      <b/>
      <sz val="14"/>
      <color indexed="12"/>
      <name val="Arial"/>
      <family val="2"/>
    </font>
    <font>
      <b/>
      <sz val="14"/>
      <color indexed="9"/>
      <name val="Arial"/>
      <family val="2"/>
    </font>
    <font>
      <b/>
      <sz val="12"/>
      <color indexed="12"/>
      <name val="Arial"/>
      <family val="2"/>
    </font>
    <font>
      <b/>
      <sz val="14"/>
      <color theme="5" tint="-0.249977111117893"/>
      <name val="Arial"/>
      <family val="2"/>
    </font>
    <font>
      <sz val="10"/>
      <color theme="3"/>
      <name val="Arial"/>
      <family val="2"/>
    </font>
    <font>
      <b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27" fillId="0" borderId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26" xfId="0" applyFill="1" applyBorder="1" applyAlignment="1">
      <alignment horizontal="center" vertical="center" wrapText="1"/>
    </xf>
    <xf numFmtId="6" fontId="0" fillId="0" borderId="26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6" fontId="0" fillId="0" borderId="34" xfId="0" applyNumberForma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6" fontId="0" fillId="0" borderId="17" xfId="0" applyNumberFormat="1" applyBorder="1" applyAlignment="1">
      <alignment horizontal="center" vertical="center" wrapText="1"/>
    </xf>
    <xf numFmtId="6" fontId="0" fillId="0" borderId="54" xfId="0" applyNumberFormat="1" applyBorder="1" applyAlignment="1">
      <alignment horizontal="center" vertical="center" wrapText="1"/>
    </xf>
    <xf numFmtId="6" fontId="0" fillId="0" borderId="55" xfId="0" applyNumberForma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6" fontId="0" fillId="0" borderId="45" xfId="0" applyNumberFormat="1" applyBorder="1" applyAlignment="1">
      <alignment horizontal="center" vertical="center" wrapText="1"/>
    </xf>
    <xf numFmtId="6" fontId="0" fillId="0" borderId="46" xfId="0" applyNumberForma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0" xfId="2" applyFont="1" applyAlignment="1" applyProtection="1">
      <alignment horizontal="left" vertical="center"/>
    </xf>
    <xf numFmtId="0" fontId="14" fillId="0" borderId="0" xfId="2" applyFont="1" applyAlignment="1" applyProtection="1">
      <alignment horizontal="center" vertical="center"/>
    </xf>
    <xf numFmtId="0" fontId="14" fillId="0" borderId="0" xfId="2" applyFont="1"/>
    <xf numFmtId="0" fontId="13" fillId="0" borderId="0" xfId="2" applyFont="1" applyBorder="1" applyProtection="1"/>
    <xf numFmtId="0" fontId="14" fillId="0" borderId="0" xfId="2" applyFont="1" applyBorder="1" applyProtection="1"/>
    <xf numFmtId="6" fontId="15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 applyProtection="1">
      <alignment horizontal="right"/>
    </xf>
    <xf numFmtId="6" fontId="18" fillId="0" borderId="0" xfId="2" applyNumberFormat="1" applyFont="1" applyBorder="1" applyProtection="1"/>
    <xf numFmtId="0" fontId="17" fillId="0" borderId="0" xfId="2" applyFont="1" applyBorder="1" applyAlignment="1" applyProtection="1">
      <alignment vertical="top" wrapText="1"/>
    </xf>
    <xf numFmtId="0" fontId="17" fillId="0" borderId="0" xfId="2" applyFont="1" applyBorder="1" applyAlignment="1" applyProtection="1">
      <alignment wrapText="1"/>
    </xf>
    <xf numFmtId="165" fontId="15" fillId="0" borderId="0" xfId="2" applyNumberFormat="1" applyFont="1" applyBorder="1" applyAlignment="1" applyProtection="1">
      <alignment horizontal="right"/>
    </xf>
    <xf numFmtId="6" fontId="14" fillId="0" borderId="0" xfId="2" applyNumberFormat="1" applyFont="1" applyBorder="1" applyProtection="1"/>
    <xf numFmtId="0" fontId="14" fillId="6" borderId="0" xfId="2" applyFont="1" applyFill="1" applyBorder="1" applyProtection="1"/>
    <xf numFmtId="165" fontId="15" fillId="6" borderId="0" xfId="2" applyNumberFormat="1" applyFont="1" applyFill="1" applyBorder="1" applyAlignment="1" applyProtection="1">
      <alignment horizontal="right"/>
    </xf>
    <xf numFmtId="6" fontId="20" fillId="0" borderId="0" xfId="2" applyNumberFormat="1" applyFont="1" applyBorder="1" applyAlignment="1" applyProtection="1">
      <alignment horizontal="center"/>
    </xf>
    <xf numFmtId="165" fontId="14" fillId="6" borderId="0" xfId="2" applyNumberFormat="1" applyFont="1" applyFill="1" applyBorder="1" applyAlignment="1" applyProtection="1">
      <alignment horizontal="right"/>
    </xf>
    <xf numFmtId="0" fontId="12" fillId="0" borderId="10" xfId="2" applyFont="1" applyBorder="1" applyAlignment="1" applyProtection="1">
      <alignment horizontal="center"/>
    </xf>
    <xf numFmtId="0" fontId="12" fillId="0" borderId="11" xfId="2" applyFont="1" applyBorder="1" applyAlignment="1" applyProtection="1">
      <alignment horizontal="center"/>
    </xf>
    <xf numFmtId="0" fontId="24" fillId="0" borderId="0" xfId="2" applyFont="1"/>
    <xf numFmtId="0" fontId="24" fillId="0" borderId="19" xfId="2" applyFont="1" applyBorder="1"/>
    <xf numFmtId="0" fontId="25" fillId="0" borderId="19" xfId="2" applyFont="1" applyBorder="1"/>
    <xf numFmtId="0" fontId="14" fillId="0" borderId="19" xfId="2" applyFont="1" applyBorder="1" applyAlignment="1">
      <alignment horizontal="center"/>
    </xf>
    <xf numFmtId="0" fontId="14" fillId="0" borderId="19" xfId="2" applyFont="1" applyBorder="1" applyAlignment="1">
      <alignment horizontal="centerContinuous"/>
    </xf>
    <xf numFmtId="0" fontId="24" fillId="0" borderId="0" xfId="2" applyFont="1" applyBorder="1"/>
    <xf numFmtId="0" fontId="13" fillId="0" borderId="0" xfId="2" applyFont="1"/>
    <xf numFmtId="0" fontId="25" fillId="0" borderId="0" xfId="2" applyFont="1"/>
    <xf numFmtId="0" fontId="25" fillId="0" borderId="0" xfId="2" applyFont="1" applyBorder="1"/>
    <xf numFmtId="5" fontId="25" fillId="0" borderId="6" xfId="2" applyNumberFormat="1" applyFont="1" applyFill="1" applyBorder="1"/>
    <xf numFmtId="5" fontId="25" fillId="0" borderId="0" xfId="2" applyNumberFormat="1" applyFont="1" applyFill="1"/>
    <xf numFmtId="5" fontId="25" fillId="0" borderId="0" xfId="2" applyNumberFormat="1" applyFont="1" applyFill="1" applyBorder="1"/>
    <xf numFmtId="5" fontId="25" fillId="0" borderId="0" xfId="2" applyNumberFormat="1" applyFont="1" applyBorder="1"/>
    <xf numFmtId="5" fontId="25" fillId="0" borderId="2" xfId="2" applyNumberFormat="1" applyFont="1" applyFill="1" applyBorder="1"/>
    <xf numFmtId="165" fontId="24" fillId="0" borderId="0" xfId="2" applyNumberFormat="1" applyFont="1"/>
    <xf numFmtId="6" fontId="24" fillId="0" borderId="0" xfId="2" applyNumberFormat="1" applyFont="1"/>
    <xf numFmtId="5" fontId="14" fillId="0" borderId="6" xfId="2" applyNumberFormat="1" applyFont="1" applyFill="1" applyBorder="1"/>
    <xf numFmtId="5" fontId="14" fillId="0" borderId="0" xfId="2" applyNumberFormat="1" applyFont="1" applyFill="1"/>
    <xf numFmtId="5" fontId="14" fillId="0" borderId="0" xfId="2" applyNumberFormat="1" applyFont="1" applyFill="1" applyBorder="1"/>
    <xf numFmtId="5" fontId="14" fillId="0" borderId="0" xfId="2" applyNumberFormat="1" applyFont="1" applyBorder="1"/>
    <xf numFmtId="10" fontId="24" fillId="0" borderId="0" xfId="2" applyNumberFormat="1" applyFont="1"/>
    <xf numFmtId="9" fontId="24" fillId="0" borderId="0" xfId="2" applyNumberFormat="1" applyFont="1"/>
    <xf numFmtId="0" fontId="26" fillId="0" borderId="0" xfId="2" applyFont="1"/>
    <xf numFmtId="0" fontId="24" fillId="0" borderId="6" xfId="2" applyFont="1" applyBorder="1"/>
    <xf numFmtId="0" fontId="24" fillId="0" borderId="0" xfId="2" applyFont="1" applyAlignment="1">
      <alignment horizontal="left" indent="1"/>
    </xf>
    <xf numFmtId="6" fontId="24" fillId="0" borderId="6" xfId="2" applyNumberFormat="1" applyFont="1" applyBorder="1" applyAlignment="1">
      <alignment horizontal="center"/>
    </xf>
    <xf numFmtId="0" fontId="24" fillId="0" borderId="0" xfId="2" applyFont="1" applyAlignment="1">
      <alignment horizontal="center"/>
    </xf>
    <xf numFmtId="0" fontId="5" fillId="0" borderId="0" xfId="0" quotePrefix="1" applyFont="1"/>
    <xf numFmtId="0" fontId="7" fillId="0" borderId="0" xfId="0" applyFont="1"/>
    <xf numFmtId="0" fontId="7" fillId="5" borderId="0" xfId="0" applyFont="1" applyFill="1" applyAlignment="1">
      <alignment horizontal="center"/>
    </xf>
    <xf numFmtId="0" fontId="3" fillId="0" borderId="0" xfId="0" applyFont="1" applyAlignment="1">
      <alignment horizontal="left" indent="1"/>
    </xf>
    <xf numFmtId="0" fontId="29" fillId="0" borderId="0" xfId="0" applyFont="1" applyAlignment="1">
      <alignment horizontal="left" vertical="top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9" fontId="5" fillId="0" borderId="0" xfId="1" applyFont="1" applyFill="1" applyAlignment="1">
      <alignment horizontal="center"/>
    </xf>
    <xf numFmtId="9" fontId="5" fillId="0" borderId="0" xfId="1" quotePrefix="1" applyFont="1" applyFill="1" applyAlignment="1">
      <alignment horizontal="center"/>
    </xf>
    <xf numFmtId="9" fontId="5" fillId="0" borderId="6" xfId="1" quotePrefix="1" applyFont="1" applyFill="1" applyBorder="1" applyAlignment="1">
      <alignment horizontal="center"/>
    </xf>
    <xf numFmtId="0" fontId="3" fillId="8" borderId="0" xfId="0" applyFont="1" applyFill="1"/>
    <xf numFmtId="0" fontId="5" fillId="8" borderId="0" xfId="0" applyFont="1" applyFill="1"/>
    <xf numFmtId="0" fontId="28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3" fillId="0" borderId="0" xfId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9" fontId="3" fillId="0" borderId="0" xfId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0" xfId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8" fillId="0" borderId="0" xfId="0" applyFont="1" applyFill="1" applyAlignment="1">
      <alignment horizontal="center" vertical="center"/>
    </xf>
    <xf numFmtId="0" fontId="31" fillId="0" borderId="0" xfId="2" applyFont="1" applyAlignment="1">
      <alignment vertical="top"/>
    </xf>
    <xf numFmtId="0" fontId="2" fillId="0" borderId="57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2" fillId="0" borderId="58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4" fillId="0" borderId="0" xfId="2" quotePrefix="1" applyFont="1"/>
    <xf numFmtId="0" fontId="24" fillId="0" borderId="0" xfId="2" applyFont="1" applyAlignment="1">
      <alignment horizontal="right"/>
    </xf>
    <xf numFmtId="0" fontId="24" fillId="0" borderId="0" xfId="2" quotePrefix="1" applyFont="1" applyAlignment="1">
      <alignment horizontal="right" vertical="center"/>
    </xf>
    <xf numFmtId="0" fontId="24" fillId="0" borderId="19" xfId="2" quotePrefix="1" applyFont="1" applyBorder="1"/>
    <xf numFmtId="6" fontId="24" fillId="0" borderId="6" xfId="2" applyNumberFormat="1" applyFont="1" applyBorder="1" applyAlignment="1"/>
    <xf numFmtId="0" fontId="24" fillId="0" borderId="23" xfId="2" applyFont="1" applyBorder="1" applyAlignment="1"/>
    <xf numFmtId="6" fontId="24" fillId="0" borderId="0" xfId="2" applyNumberFormat="1" applyFont="1" applyAlignment="1"/>
    <xf numFmtId="0" fontId="24" fillId="0" borderId="0" xfId="2" applyFont="1" applyAlignment="1"/>
    <xf numFmtId="6" fontId="24" fillId="0" borderId="23" xfId="2" applyNumberFormat="1" applyFont="1" applyBorder="1" applyAlignment="1">
      <alignment horizontal="center"/>
    </xf>
    <xf numFmtId="0" fontId="17" fillId="0" borderId="0" xfId="2" applyFont="1" applyBorder="1" applyAlignment="1" applyProtection="1">
      <alignment horizontal="left" wrapText="1"/>
    </xf>
    <xf numFmtId="0" fontId="17" fillId="0" borderId="0" xfId="2" applyFont="1" applyBorder="1" applyAlignment="1" applyProtection="1">
      <alignment horizontal="left" wrapText="1"/>
    </xf>
    <xf numFmtId="0" fontId="28" fillId="2" borderId="4" xfId="0" applyFont="1" applyFill="1" applyBorder="1" applyAlignment="1" applyProtection="1">
      <alignment horizontal="center" vertical="center"/>
      <protection locked="0"/>
    </xf>
    <xf numFmtId="9" fontId="28" fillId="2" borderId="1" xfId="1" applyFont="1" applyFill="1" applyBorder="1" applyAlignment="1" applyProtection="1">
      <alignment horizontal="center"/>
      <protection locked="0"/>
    </xf>
    <xf numFmtId="9" fontId="28" fillId="2" borderId="4" xfId="1" applyFont="1" applyFill="1" applyBorder="1" applyAlignment="1" applyProtection="1">
      <alignment horizont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2" applyProtection="1"/>
    <xf numFmtId="0" fontId="10" fillId="0" borderId="24" xfId="2" applyBorder="1" applyProtection="1"/>
    <xf numFmtId="0" fontId="26" fillId="0" borderId="0" xfId="2" applyFont="1" applyBorder="1" applyAlignment="1" applyProtection="1">
      <alignment vertical="center"/>
    </xf>
    <xf numFmtId="0" fontId="26" fillId="0" borderId="24" xfId="2" applyFont="1" applyBorder="1" applyAlignment="1" applyProtection="1">
      <alignment vertical="center"/>
    </xf>
    <xf numFmtId="0" fontId="33" fillId="0" borderId="2" xfId="2" applyFont="1" applyBorder="1" applyAlignment="1" applyProtection="1">
      <alignment horizontal="center" vertical="center"/>
      <protection locked="0"/>
    </xf>
    <xf numFmtId="0" fontId="26" fillId="0" borderId="25" xfId="2" applyFont="1" applyBorder="1" applyAlignment="1" applyProtection="1">
      <alignment vertical="center"/>
    </xf>
    <xf numFmtId="0" fontId="34" fillId="7" borderId="6" xfId="2" applyFont="1" applyFill="1" applyBorder="1" applyProtection="1"/>
    <xf numFmtId="0" fontId="34" fillId="7" borderId="6" xfId="2" applyFont="1" applyFill="1" applyBorder="1" applyAlignment="1" applyProtection="1">
      <alignment horizontal="center"/>
    </xf>
    <xf numFmtId="0" fontId="34" fillId="7" borderId="64" xfId="2" applyFont="1" applyFill="1" applyBorder="1" applyAlignment="1" applyProtection="1">
      <alignment horizontal="center"/>
    </xf>
    <xf numFmtId="0" fontId="12" fillId="0" borderId="24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2" fillId="0" borderId="65" xfId="2" applyFont="1" applyBorder="1" applyProtection="1"/>
    <xf numFmtId="165" fontId="12" fillId="0" borderId="0" xfId="2" applyNumberFormat="1" applyFont="1" applyBorder="1" applyAlignment="1" applyProtection="1">
      <alignment horizontal="center"/>
    </xf>
    <xf numFmtId="165" fontId="12" fillId="0" borderId="25" xfId="2" applyNumberFormat="1" applyFont="1" applyBorder="1" applyAlignment="1" applyProtection="1">
      <alignment horizontal="center"/>
    </xf>
    <xf numFmtId="0" fontId="21" fillId="7" borderId="24" xfId="2" applyFont="1" applyFill="1" applyBorder="1" applyProtection="1"/>
    <xf numFmtId="0" fontId="34" fillId="7" borderId="0" xfId="2" applyFont="1" applyFill="1" applyBorder="1" applyProtection="1"/>
    <xf numFmtId="0" fontId="21" fillId="7" borderId="25" xfId="2" applyFont="1" applyFill="1" applyBorder="1" applyProtection="1"/>
    <xf numFmtId="165" fontId="12" fillId="7" borderId="0" xfId="2" applyNumberFormat="1" applyFont="1" applyFill="1" applyBorder="1" applyProtection="1"/>
    <xf numFmtId="165" fontId="12" fillId="7" borderId="25" xfId="2" applyNumberFormat="1" applyFont="1" applyFill="1" applyBorder="1" applyProtection="1"/>
    <xf numFmtId="0" fontId="24" fillId="0" borderId="0" xfId="2" applyFont="1" applyProtection="1"/>
    <xf numFmtId="0" fontId="35" fillId="0" borderId="6" xfId="2" applyFont="1" applyBorder="1" applyProtection="1">
      <protection locked="0"/>
    </xf>
    <xf numFmtId="9" fontId="35" fillId="0" borderId="25" xfId="2" applyNumberFormat="1" applyFont="1" applyBorder="1" applyProtection="1"/>
    <xf numFmtId="9" fontId="24" fillId="0" borderId="0" xfId="2" applyNumberFormat="1" applyFont="1" applyProtection="1"/>
    <xf numFmtId="9" fontId="13" fillId="0" borderId="25" xfId="2" applyNumberFormat="1" applyFont="1" applyBorder="1" applyProtection="1"/>
    <xf numFmtId="0" fontId="35" fillId="0" borderId="2" xfId="2" applyFont="1" applyBorder="1" applyProtection="1">
      <protection locked="0"/>
    </xf>
    <xf numFmtId="0" fontId="12" fillId="0" borderId="35" xfId="2" applyFont="1" applyBorder="1" applyAlignment="1" applyProtection="1">
      <alignment horizontal="center"/>
    </xf>
    <xf numFmtId="0" fontId="35" fillId="0" borderId="19" xfId="2" applyFont="1" applyBorder="1" applyProtection="1"/>
    <xf numFmtId="0" fontId="13" fillId="0" borderId="67" xfId="2" applyFont="1" applyBorder="1" applyProtection="1"/>
    <xf numFmtId="0" fontId="13" fillId="0" borderId="25" xfId="2" applyFont="1" applyBorder="1" applyProtection="1"/>
    <xf numFmtId="0" fontId="12" fillId="0" borderId="0" xfId="2" applyFont="1" applyBorder="1" applyProtection="1"/>
    <xf numFmtId="0" fontId="12" fillId="0" borderId="25" xfId="2" applyFont="1" applyBorder="1" applyProtection="1"/>
    <xf numFmtId="0" fontId="21" fillId="7" borderId="24" xfId="2" applyFont="1" applyFill="1" applyBorder="1" applyAlignment="1" applyProtection="1">
      <alignment horizontal="center"/>
    </xf>
    <xf numFmtId="0" fontId="36" fillId="0" borderId="0" xfId="2" applyFont="1" applyProtection="1"/>
    <xf numFmtId="0" fontId="37" fillId="0" borderId="0" xfId="2" applyFont="1" applyFill="1" applyProtection="1"/>
    <xf numFmtId="165" fontId="24" fillId="0" borderId="0" xfId="2" applyNumberFormat="1" applyFont="1" applyProtection="1"/>
    <xf numFmtId="9" fontId="24" fillId="0" borderId="0" xfId="2" quotePrefix="1" applyNumberFormat="1" applyFont="1" applyProtection="1"/>
    <xf numFmtId="6" fontId="24" fillId="0" borderId="0" xfId="2" applyNumberFormat="1" applyFont="1" applyProtection="1"/>
    <xf numFmtId="9" fontId="24" fillId="0" borderId="0" xfId="2" applyNumberFormat="1" applyFont="1" applyProtection="1">
      <protection locked="0"/>
    </xf>
    <xf numFmtId="49" fontId="12" fillId="0" borderId="35" xfId="2" applyNumberFormat="1" applyFont="1" applyBorder="1" applyAlignment="1" applyProtection="1">
      <alignment horizontal="center"/>
    </xf>
    <xf numFmtId="49" fontId="13" fillId="0" borderId="67" xfId="2" applyNumberFormat="1" applyFont="1" applyBorder="1" applyProtection="1"/>
    <xf numFmtId="0" fontId="17" fillId="0" borderId="0" xfId="2" applyFont="1" applyBorder="1" applyAlignment="1" applyProtection="1">
      <alignment vertical="top"/>
    </xf>
    <xf numFmtId="167" fontId="35" fillId="0" borderId="64" xfId="2" applyNumberFormat="1" applyFont="1" applyBorder="1" applyAlignment="1" applyProtection="1">
      <alignment horizontal="center"/>
      <protection locked="0"/>
    </xf>
    <xf numFmtId="0" fontId="10" fillId="0" borderId="25" xfId="2" applyBorder="1" applyProtection="1"/>
    <xf numFmtId="165" fontId="19" fillId="0" borderId="25" xfId="2" applyNumberFormat="1" applyFont="1" applyBorder="1" applyProtection="1"/>
    <xf numFmtId="0" fontId="10" fillId="0" borderId="35" xfId="2" applyBorder="1" applyProtection="1"/>
    <xf numFmtId="0" fontId="17" fillId="0" borderId="19" xfId="2" applyFont="1" applyBorder="1" applyProtection="1"/>
    <xf numFmtId="0" fontId="10" fillId="0" borderId="67" xfId="2" applyBorder="1" applyProtection="1"/>
    <xf numFmtId="0" fontId="10" fillId="0" borderId="19" xfId="2" applyBorder="1" applyProtection="1"/>
    <xf numFmtId="165" fontId="17" fillId="0" borderId="67" xfId="2" applyNumberFormat="1" applyFont="1" applyBorder="1" applyAlignment="1" applyProtection="1">
      <alignment horizontal="right" vertical="top"/>
    </xf>
    <xf numFmtId="0" fontId="25" fillId="9" borderId="6" xfId="2" applyFont="1" applyFill="1" applyBorder="1" applyProtection="1">
      <protection locked="0"/>
    </xf>
    <xf numFmtId="5" fontId="25" fillId="9" borderId="6" xfId="2" applyNumberFormat="1" applyFont="1" applyFill="1" applyBorder="1" applyProtection="1">
      <protection locked="0"/>
    </xf>
    <xf numFmtId="5" fontId="25" fillId="9" borderId="2" xfId="2" applyNumberFormat="1" applyFont="1" applyFill="1" applyBorder="1" applyProtection="1">
      <protection locked="0"/>
    </xf>
    <xf numFmtId="6" fontId="25" fillId="0" borderId="2" xfId="2" applyNumberFormat="1" applyFont="1" applyFill="1" applyBorder="1"/>
    <xf numFmtId="5" fontId="25" fillId="0" borderId="6" xfId="2" applyNumberFormat="1" applyFont="1" applyFill="1" applyBorder="1" applyProtection="1"/>
    <xf numFmtId="5" fontId="25" fillId="0" borderId="2" xfId="2" applyNumberFormat="1" applyFont="1" applyBorder="1"/>
    <xf numFmtId="9" fontId="25" fillId="9" borderId="0" xfId="2" applyNumberFormat="1" applyFont="1" applyFill="1" applyBorder="1" applyAlignment="1" applyProtection="1">
      <alignment horizontal="center"/>
      <protection locked="0"/>
    </xf>
    <xf numFmtId="0" fontId="12" fillId="0" borderId="0" xfId="2" applyFont="1" applyProtection="1"/>
    <xf numFmtId="0" fontId="13" fillId="0" borderId="0" xfId="2" applyFont="1" applyAlignment="1" applyProtection="1">
      <alignment horizontal="center" vertical="center"/>
    </xf>
    <xf numFmtId="0" fontId="16" fillId="0" borderId="0" xfId="2" applyNumberFormat="1" applyFont="1" applyBorder="1" applyAlignment="1" applyProtection="1">
      <alignment horizontal="center"/>
    </xf>
    <xf numFmtId="164" fontId="13" fillId="0" borderId="0" xfId="2" applyNumberFormat="1" applyFont="1" applyAlignment="1" applyProtection="1">
      <alignment horizontal="center" vertical="center"/>
    </xf>
    <xf numFmtId="0" fontId="14" fillId="0" borderId="0" xfId="2" applyFont="1" applyProtection="1"/>
    <xf numFmtId="8" fontId="12" fillId="0" borderId="0" xfId="2" applyNumberFormat="1" applyFont="1" applyBorder="1" applyProtection="1"/>
    <xf numFmtId="6" fontId="15" fillId="0" borderId="0" xfId="2" applyNumberFormat="1" applyFont="1" applyBorder="1" applyAlignment="1" applyProtection="1"/>
    <xf numFmtId="0" fontId="12" fillId="6" borderId="0" xfId="2" applyFont="1" applyFill="1" applyProtection="1"/>
    <xf numFmtId="0" fontId="14" fillId="6" borderId="0" xfId="2" applyFont="1" applyFill="1" applyProtection="1"/>
    <xf numFmtId="6" fontId="15" fillId="6" borderId="0" xfId="2" applyNumberFormat="1" applyFont="1" applyFill="1" applyBorder="1" applyAlignment="1" applyProtection="1"/>
    <xf numFmtId="6" fontId="15" fillId="0" borderId="22" xfId="2" applyNumberFormat="1" applyFont="1" applyBorder="1" applyAlignment="1" applyProtection="1">
      <alignment horizontal="right"/>
    </xf>
    <xf numFmtId="0" fontId="19" fillId="0" borderId="0" xfId="2" applyFont="1" applyProtection="1"/>
    <xf numFmtId="8" fontId="12" fillId="0" borderId="0" xfId="2" applyNumberFormat="1" applyFont="1" applyProtection="1"/>
    <xf numFmtId="0" fontId="12" fillId="0" borderId="0" xfId="2" quotePrefix="1" applyFont="1" applyProtection="1"/>
    <xf numFmtId="0" fontId="21" fillId="7" borderId="28" xfId="2" applyFont="1" applyFill="1" applyBorder="1" applyProtection="1"/>
    <xf numFmtId="0" fontId="21" fillId="7" borderId="22" xfId="2" applyFont="1" applyFill="1" applyBorder="1" applyAlignment="1" applyProtection="1">
      <alignment horizontal="center"/>
    </xf>
    <xf numFmtId="0" fontId="21" fillId="7" borderId="29" xfId="2" applyFont="1" applyFill="1" applyBorder="1" applyAlignment="1" applyProtection="1">
      <alignment horizontal="center"/>
    </xf>
    <xf numFmtId="9" fontId="21" fillId="0" borderId="0" xfId="2" applyNumberFormat="1" applyFont="1" applyProtection="1"/>
    <xf numFmtId="0" fontId="12" fillId="0" borderId="62" xfId="2" applyFont="1" applyBorder="1" applyProtection="1"/>
    <xf numFmtId="2" fontId="12" fillId="0" borderId="32" xfId="2" applyNumberFormat="1" applyFont="1" applyBorder="1" applyAlignment="1" applyProtection="1">
      <alignment horizontal="center"/>
    </xf>
    <xf numFmtId="2" fontId="12" fillId="0" borderId="5" xfId="2" applyNumberFormat="1" applyFont="1" applyBorder="1" applyAlignment="1" applyProtection="1">
      <alignment horizontal="center"/>
    </xf>
    <xf numFmtId="2" fontId="12" fillId="0" borderId="4" xfId="2" applyNumberFormat="1" applyFont="1" applyBorder="1" applyAlignment="1" applyProtection="1">
      <alignment horizontal="center"/>
    </xf>
    <xf numFmtId="2" fontId="12" fillId="0" borderId="25" xfId="2" applyNumberFormat="1" applyFont="1" applyBorder="1" applyAlignment="1" applyProtection="1">
      <alignment horizontal="center"/>
    </xf>
    <xf numFmtId="0" fontId="12" fillId="0" borderId="14" xfId="2" applyFont="1" applyBorder="1" applyProtection="1"/>
    <xf numFmtId="2" fontId="12" fillId="0" borderId="3" xfId="2" applyNumberFormat="1" applyFont="1" applyBorder="1" applyAlignment="1" applyProtection="1">
      <alignment horizontal="center"/>
    </xf>
    <xf numFmtId="2" fontId="12" fillId="0" borderId="1" xfId="2" applyNumberFormat="1" applyFont="1" applyBorder="1" applyAlignment="1" applyProtection="1">
      <alignment horizontal="center"/>
    </xf>
    <xf numFmtId="2" fontId="12" fillId="0" borderId="13" xfId="2" applyNumberFormat="1" applyFont="1" applyBorder="1" applyAlignment="1" applyProtection="1">
      <alignment horizontal="center"/>
    </xf>
    <xf numFmtId="166" fontId="12" fillId="0" borderId="1" xfId="2" applyNumberFormat="1" applyFont="1" applyBorder="1" applyAlignment="1" applyProtection="1">
      <alignment horizontal="center"/>
    </xf>
    <xf numFmtId="166" fontId="12" fillId="0" borderId="13" xfId="2" applyNumberFormat="1" applyFont="1" applyBorder="1" applyAlignment="1" applyProtection="1">
      <alignment horizontal="center"/>
    </xf>
    <xf numFmtId="0" fontId="12" fillId="0" borderId="15" xfId="2" applyFont="1" applyBorder="1" applyProtection="1"/>
    <xf numFmtId="0" fontId="12" fillId="0" borderId="8" xfId="2" applyFont="1" applyBorder="1" applyProtection="1"/>
    <xf numFmtId="0" fontId="12" fillId="0" borderId="34" xfId="2" applyFont="1" applyBorder="1" applyAlignment="1" applyProtection="1">
      <alignment horizontal="center"/>
    </xf>
    <xf numFmtId="2" fontId="12" fillId="0" borderId="34" xfId="2" applyNumberFormat="1" applyFont="1" applyBorder="1" applyAlignment="1" applyProtection="1">
      <alignment horizontal="center"/>
    </xf>
    <xf numFmtId="0" fontId="13" fillId="0" borderId="0" xfId="2" applyFont="1" applyFill="1" applyBorder="1" applyAlignment="1" applyProtection="1">
      <alignment horizontal="center"/>
    </xf>
    <xf numFmtId="0" fontId="12" fillId="7" borderId="24" xfId="2" applyFont="1" applyFill="1" applyBorder="1" applyProtection="1"/>
    <xf numFmtId="0" fontId="12" fillId="0" borderId="0" xfId="2" applyFont="1" applyFill="1" applyBorder="1" applyProtection="1"/>
    <xf numFmtId="165" fontId="21" fillId="7" borderId="4" xfId="2" applyNumberFormat="1" applyFont="1" applyFill="1" applyBorder="1" applyAlignment="1" applyProtection="1">
      <alignment horizontal="center"/>
    </xf>
    <xf numFmtId="165" fontId="21" fillId="7" borderId="4" xfId="2" applyNumberFormat="1" applyFont="1" applyFill="1" applyBorder="1" applyAlignment="1" applyProtection="1">
      <alignment horizontal="center"/>
    </xf>
    <xf numFmtId="0" fontId="12" fillId="0" borderId="30" xfId="2" applyFont="1" applyBorder="1" applyAlignment="1" applyProtection="1">
      <alignment vertical="center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1" xfId="2" applyNumberFormat="1" applyFont="1" applyBorder="1" applyAlignment="1" applyProtection="1">
      <alignment horizontal="center" vertical="center"/>
    </xf>
    <xf numFmtId="0" fontId="12" fillId="0" borderId="35" xfId="2" applyFont="1" applyBorder="1" applyAlignment="1" applyProtection="1">
      <alignment vertical="center" wrapText="1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9" fontId="12" fillId="0" borderId="0" xfId="2" applyNumberFormat="1" applyFont="1" applyProtection="1"/>
    <xf numFmtId="0" fontId="15" fillId="9" borderId="19" xfId="2" applyNumberFormat="1" applyFont="1" applyFill="1" applyBorder="1" applyAlignment="1" applyProtection="1">
      <alignment horizontal="center"/>
      <protection locked="0"/>
    </xf>
    <xf numFmtId="0" fontId="15" fillId="9" borderId="18" xfId="2" applyNumberFormat="1" applyFont="1" applyFill="1" applyBorder="1" applyAlignment="1" applyProtection="1">
      <alignment horizontal="center"/>
      <protection locked="0"/>
    </xf>
    <xf numFmtId="164" fontId="15" fillId="9" borderId="19" xfId="2" applyNumberFormat="1" applyFont="1" applyFill="1" applyBorder="1" applyAlignment="1" applyProtection="1">
      <alignment horizontal="center"/>
      <protection locked="0"/>
    </xf>
    <xf numFmtId="164" fontId="15" fillId="9" borderId="18" xfId="2" applyNumberFormat="1" applyFont="1" applyFill="1" applyBorder="1" applyAlignment="1" applyProtection="1">
      <alignment horizontal="center"/>
      <protection locked="0"/>
    </xf>
    <xf numFmtId="6" fontId="15" fillId="9" borderId="18" xfId="2" applyNumberFormat="1" applyFont="1" applyFill="1" applyBorder="1" applyAlignment="1" applyProtection="1">
      <alignment horizontal="center"/>
      <protection locked="0"/>
    </xf>
    <xf numFmtId="0" fontId="35" fillId="0" borderId="2" xfId="2" applyFont="1" applyFill="1" applyBorder="1" applyProtection="1">
      <protection locked="0"/>
    </xf>
    <xf numFmtId="0" fontId="24" fillId="0" borderId="0" xfId="2" applyFont="1" applyFill="1" applyBorder="1" applyProtection="1"/>
    <xf numFmtId="0" fontId="10" fillId="0" borderId="0" xfId="2" applyFill="1" applyBorder="1" applyProtection="1"/>
    <xf numFmtId="165" fontId="24" fillId="0" borderId="0" xfId="2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71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23" fillId="0" borderId="0" xfId="2" applyFont="1" applyAlignment="1">
      <alignment vertical="center" wrapText="1"/>
    </xf>
    <xf numFmtId="6" fontId="13" fillId="0" borderId="6" xfId="2" applyNumberFormat="1" applyFont="1" applyBorder="1" applyProtection="1"/>
    <xf numFmtId="6" fontId="13" fillId="0" borderId="0" xfId="2" applyNumberFormat="1" applyFont="1" applyBorder="1" applyProtection="1"/>
    <xf numFmtId="6" fontId="13" fillId="0" borderId="64" xfId="2" applyNumberFormat="1" applyFont="1" applyBorder="1" applyProtection="1"/>
    <xf numFmtId="6" fontId="35" fillId="0" borderId="6" xfId="2" applyNumberFormat="1" applyFont="1" applyBorder="1" applyProtection="1">
      <protection locked="0"/>
    </xf>
    <xf numFmtId="6" fontId="35" fillId="0" borderId="0" xfId="2" applyNumberFormat="1" applyFont="1" applyBorder="1" applyProtection="1"/>
    <xf numFmtId="6" fontId="35" fillId="0" borderId="2" xfId="2" applyNumberFormat="1" applyFont="1" applyBorder="1" applyProtection="1">
      <protection locked="0"/>
    </xf>
    <xf numFmtId="6" fontId="13" fillId="0" borderId="66" xfId="2" applyNumberFormat="1" applyFont="1" applyBorder="1" applyProtection="1"/>
    <xf numFmtId="6" fontId="35" fillId="0" borderId="19" xfId="2" applyNumberFormat="1" applyFont="1" applyBorder="1" applyProtection="1"/>
    <xf numFmtId="6" fontId="13" fillId="0" borderId="67" xfId="2" applyNumberFormat="1" applyFont="1" applyBorder="1" applyProtection="1"/>
    <xf numFmtId="6" fontId="12" fillId="0" borderId="0" xfId="2" applyNumberFormat="1" applyFont="1" applyBorder="1" applyProtection="1"/>
    <xf numFmtId="6" fontId="12" fillId="0" borderId="25" xfId="2" applyNumberFormat="1" applyFont="1" applyBorder="1" applyProtection="1"/>
    <xf numFmtId="6" fontId="21" fillId="7" borderId="0" xfId="2" applyNumberFormat="1" applyFont="1" applyFill="1" applyBorder="1" applyProtection="1"/>
    <xf numFmtId="6" fontId="21" fillId="7" borderId="25" xfId="2" applyNumberFormat="1" applyFont="1" applyFill="1" applyBorder="1" applyProtection="1"/>
    <xf numFmtId="6" fontId="35" fillId="0" borderId="7" xfId="2" applyNumberFormat="1" applyFont="1" applyBorder="1" applyProtection="1">
      <protection locked="0"/>
    </xf>
    <xf numFmtId="6" fontId="35" fillId="0" borderId="22" xfId="2" applyNumberFormat="1" applyFont="1" applyBorder="1" applyProtection="1"/>
    <xf numFmtId="6" fontId="13" fillId="0" borderId="68" xfId="2" applyNumberFormat="1" applyFont="1" applyBorder="1" applyProtection="1"/>
    <xf numFmtId="6" fontId="35" fillId="0" borderId="2" xfId="2" applyNumberFormat="1" applyFont="1" applyFill="1" applyBorder="1" applyProtection="1">
      <protection locked="0"/>
    </xf>
    <xf numFmtId="6" fontId="35" fillId="0" borderId="23" xfId="2" applyNumberFormat="1" applyFont="1" applyBorder="1" applyProtection="1">
      <protection locked="0"/>
    </xf>
    <xf numFmtId="6" fontId="35" fillId="0" borderId="69" xfId="2" applyNumberFormat="1" applyFont="1" applyBorder="1" applyProtection="1">
      <protection locked="0"/>
    </xf>
    <xf numFmtId="6" fontId="35" fillId="0" borderId="20" xfId="2" applyNumberFormat="1" applyFont="1" applyBorder="1" applyProtection="1"/>
    <xf numFmtId="6" fontId="13" fillId="0" borderId="23" xfId="2" applyNumberFormat="1" applyFont="1" applyBorder="1" applyProtection="1"/>
    <xf numFmtId="6" fontId="17" fillId="0" borderId="25" xfId="2" applyNumberFormat="1" applyFont="1" applyBorder="1" applyAlignment="1" applyProtection="1">
      <alignment horizontal="right"/>
    </xf>
    <xf numFmtId="6" fontId="13" fillId="0" borderId="25" xfId="2" applyNumberFormat="1" applyFont="1" applyBorder="1" applyProtection="1"/>
    <xf numFmtId="6" fontId="13" fillId="0" borderId="70" xfId="2" applyNumberFormat="1" applyFont="1" applyBorder="1" applyProtection="1"/>
    <xf numFmtId="6" fontId="17" fillId="0" borderId="25" xfId="2" applyNumberFormat="1" applyFont="1" applyBorder="1" applyAlignment="1" applyProtection="1">
      <alignment horizontal="right" vertical="top"/>
    </xf>
    <xf numFmtId="6" fontId="13" fillId="0" borderId="63" xfId="2" applyNumberFormat="1" applyFont="1" applyBorder="1" applyProtection="1"/>
    <xf numFmtId="6" fontId="38" fillId="0" borderId="64" xfId="2" applyNumberFormat="1" applyFont="1" applyBorder="1" applyProtection="1"/>
    <xf numFmtId="6" fontId="13" fillId="0" borderId="24" xfId="2" applyNumberFormat="1" applyFont="1" applyBorder="1" applyProtection="1"/>
    <xf numFmtId="6" fontId="38" fillId="0" borderId="63" xfId="2" applyNumberFormat="1" applyFont="1" applyBorder="1" applyProtection="1"/>
    <xf numFmtId="6" fontId="38" fillId="0" borderId="0" xfId="2" applyNumberFormat="1" applyFont="1" applyBorder="1" applyProtection="1"/>
    <xf numFmtId="6" fontId="38" fillId="0" borderId="6" xfId="2" applyNumberFormat="1" applyFont="1" applyBorder="1" applyProtection="1"/>
    <xf numFmtId="6" fontId="38" fillId="0" borderId="25" xfId="2" applyNumberFormat="1" applyFont="1" applyBorder="1" applyProtection="1"/>
    <xf numFmtId="6" fontId="35" fillId="0" borderId="64" xfId="2" applyNumberFormat="1" applyFont="1" applyBorder="1" applyProtection="1">
      <protection locked="0"/>
    </xf>
    <xf numFmtId="0" fontId="3" fillId="10" borderId="0" xfId="0" applyFont="1" applyFill="1"/>
    <xf numFmtId="0" fontId="5" fillId="10" borderId="0" xfId="0" applyFont="1" applyFill="1"/>
    <xf numFmtId="6" fontId="43" fillId="2" borderId="6" xfId="0" applyNumberFormat="1" applyFont="1" applyFill="1" applyBorder="1" applyProtection="1">
      <protection locked="0"/>
    </xf>
    <xf numFmtId="6" fontId="3" fillId="0" borderId="0" xfId="0" applyNumberFormat="1" applyFont="1" applyFill="1"/>
    <xf numFmtId="0" fontId="3" fillId="11" borderId="0" xfId="0" applyFont="1" applyFill="1"/>
    <xf numFmtId="0" fontId="5" fillId="11" borderId="0" xfId="0" quotePrefix="1" applyFont="1" applyFill="1"/>
    <xf numFmtId="6" fontId="43" fillId="11" borderId="6" xfId="0" applyNumberFormat="1" applyFont="1" applyFill="1" applyBorder="1"/>
    <xf numFmtId="6" fontId="5" fillId="11" borderId="0" xfId="0" applyNumberFormat="1" applyFont="1" applyFill="1"/>
    <xf numFmtId="6" fontId="5" fillId="11" borderId="0" xfId="0" quotePrefix="1" applyNumberFormat="1" applyFont="1" applyFill="1" applyAlignment="1">
      <alignment horizontal="right"/>
    </xf>
    <xf numFmtId="6" fontId="3" fillId="11" borderId="6" xfId="0" applyNumberFormat="1" applyFont="1" applyFill="1" applyBorder="1"/>
    <xf numFmtId="6" fontId="43" fillId="11" borderId="2" xfId="0" applyNumberFormat="1" applyFont="1" applyFill="1" applyBorder="1"/>
    <xf numFmtId="0" fontId="5" fillId="11" borderId="0" xfId="0" applyFont="1" applyFill="1" applyBorder="1"/>
    <xf numFmtId="0" fontId="5" fillId="11" borderId="0" xfId="0" applyFont="1" applyFill="1"/>
    <xf numFmtId="6" fontId="43" fillId="0" borderId="0" xfId="0" applyNumberFormat="1" applyFont="1" applyFill="1" applyBorder="1"/>
    <xf numFmtId="6" fontId="5" fillId="0" borderId="0" xfId="0" applyNumberFormat="1" applyFont="1"/>
    <xf numFmtId="6" fontId="5" fillId="0" borderId="0" xfId="0" quotePrefix="1" applyNumberFormat="1" applyFont="1" applyAlignment="1">
      <alignment horizontal="right"/>
    </xf>
    <xf numFmtId="6" fontId="3" fillId="0" borderId="6" xfId="0" applyNumberFormat="1" applyFont="1" applyFill="1" applyBorder="1"/>
    <xf numFmtId="6" fontId="43" fillId="2" borderId="2" xfId="0" applyNumberFormat="1" applyFont="1" applyFill="1" applyBorder="1" applyProtection="1">
      <protection locked="0"/>
    </xf>
    <xf numFmtId="0" fontId="43" fillId="0" borderId="0" xfId="0" applyFont="1" applyBorder="1"/>
    <xf numFmtId="6" fontId="3" fillId="0" borderId="0" xfId="0" applyNumberFormat="1" applyFont="1"/>
    <xf numFmtId="0" fontId="3" fillId="0" borderId="0" xfId="0" quotePrefix="1" applyFont="1"/>
    <xf numFmtId="6" fontId="3" fillId="0" borderId="19" xfId="0" applyNumberFormat="1" applyFont="1" applyBorder="1"/>
    <xf numFmtId="6" fontId="3" fillId="0" borderId="0" xfId="0" applyNumberFormat="1" applyFont="1" applyBorder="1"/>
    <xf numFmtId="6" fontId="3" fillId="10" borderId="0" xfId="0" applyNumberFormat="1" applyFont="1" applyFill="1"/>
    <xf numFmtId="0" fontId="5" fillId="0" borderId="0" xfId="0" quotePrefix="1" applyFont="1" applyAlignment="1">
      <alignment horizontal="right"/>
    </xf>
    <xf numFmtId="6" fontId="44" fillId="0" borderId="6" xfId="0" applyNumberFormat="1" applyFont="1" applyFill="1" applyBorder="1"/>
    <xf numFmtId="6" fontId="43" fillId="0" borderId="0" xfId="0" applyNumberFormat="1" applyFont="1" applyBorder="1"/>
    <xf numFmtId="6" fontId="3" fillId="0" borderId="0" xfId="0" applyNumberFormat="1" applyFont="1" applyFill="1" applyBorder="1"/>
    <xf numFmtId="6" fontId="5" fillId="0" borderId="0" xfId="0" applyNumberFormat="1" applyFont="1" applyAlignment="1">
      <alignment horizontal="right"/>
    </xf>
    <xf numFmtId="0" fontId="3" fillId="0" borderId="19" xfId="0" applyFont="1" applyBorder="1"/>
    <xf numFmtId="0" fontId="5" fillId="0" borderId="19" xfId="0" quotePrefix="1" applyFont="1" applyBorder="1"/>
    <xf numFmtId="6" fontId="43" fillId="2" borderId="19" xfId="0" applyNumberFormat="1" applyFont="1" applyFill="1" applyBorder="1" applyProtection="1">
      <protection locked="0"/>
    </xf>
    <xf numFmtId="6" fontId="5" fillId="0" borderId="19" xfId="0" applyNumberFormat="1" applyFont="1" applyBorder="1"/>
    <xf numFmtId="6" fontId="5" fillId="0" borderId="19" xfId="0" applyNumberFormat="1" applyFont="1" applyBorder="1" applyAlignment="1">
      <alignment horizontal="right"/>
    </xf>
    <xf numFmtId="6" fontId="3" fillId="0" borderId="18" xfId="0" applyNumberFormat="1" applyFont="1" applyBorder="1"/>
    <xf numFmtId="6" fontId="3" fillId="0" borderId="73" xfId="0" applyNumberFormat="1" applyFont="1" applyBorder="1"/>
    <xf numFmtId="6" fontId="3" fillId="0" borderId="6" xfId="0" applyNumberFormat="1" applyFont="1" applyBorder="1"/>
    <xf numFmtId="0" fontId="6" fillId="0" borderId="0" xfId="0" applyFont="1"/>
    <xf numFmtId="0" fontId="4" fillId="12" borderId="74" xfId="0" applyFont="1" applyFill="1" applyBorder="1"/>
    <xf numFmtId="0" fontId="4" fillId="12" borderId="75" xfId="0" applyFont="1" applyFill="1" applyBorder="1" applyAlignment="1">
      <alignment horizontal="center"/>
    </xf>
    <xf numFmtId="0" fontId="4" fillId="12" borderId="76" xfId="0" applyFont="1" applyFill="1" applyBorder="1" applyAlignment="1">
      <alignment horizontal="center"/>
    </xf>
    <xf numFmtId="0" fontId="4" fillId="12" borderId="18" xfId="0" applyFont="1" applyFill="1" applyBorder="1"/>
    <xf numFmtId="0" fontId="4" fillId="12" borderId="18" xfId="0" applyFont="1" applyFill="1" applyBorder="1" applyAlignment="1">
      <alignment horizontal="center"/>
    </xf>
    <xf numFmtId="0" fontId="7" fillId="0" borderId="24" xfId="0" applyFont="1" applyBorder="1"/>
    <xf numFmtId="6" fontId="45" fillId="2" borderId="62" xfId="0" applyNumberFormat="1" applyFont="1" applyFill="1" applyBorder="1" applyProtection="1">
      <protection locked="0"/>
    </xf>
    <xf numFmtId="6" fontId="45" fillId="2" borderId="25" xfId="0" applyNumberFormat="1" applyFont="1" applyFill="1" applyBorder="1" applyProtection="1">
      <protection locked="0"/>
    </xf>
    <xf numFmtId="0" fontId="4" fillId="0" borderId="24" xfId="0" applyFont="1" applyBorder="1"/>
    <xf numFmtId="0" fontId="7" fillId="0" borderId="0" xfId="0" applyFont="1" applyBorder="1"/>
    <xf numFmtId="0" fontId="7" fillId="0" borderId="77" xfId="0" applyFont="1" applyBorder="1"/>
    <xf numFmtId="0" fontId="7" fillId="0" borderId="25" xfId="0" applyFont="1" applyBorder="1"/>
    <xf numFmtId="2" fontId="7" fillId="0" borderId="62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9" fontId="7" fillId="0" borderId="62" xfId="1" applyFont="1" applyBorder="1" applyAlignment="1">
      <alignment horizontal="center"/>
    </xf>
    <xf numFmtId="9" fontId="7" fillId="0" borderId="25" xfId="1" applyFont="1" applyBorder="1" applyAlignment="1">
      <alignment horizontal="center"/>
    </xf>
    <xf numFmtId="9" fontId="7" fillId="0" borderId="0" xfId="0" applyNumberFormat="1" applyFont="1"/>
    <xf numFmtId="0" fontId="4" fillId="0" borderId="28" xfId="0" applyFont="1" applyBorder="1"/>
    <xf numFmtId="0" fontId="7" fillId="0" borderId="22" xfId="0" applyFont="1" applyBorder="1"/>
    <xf numFmtId="0" fontId="7" fillId="0" borderId="7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6" fontId="7" fillId="0" borderId="62" xfId="0" applyNumberFormat="1" applyFont="1" applyBorder="1"/>
    <xf numFmtId="6" fontId="7" fillId="0" borderId="25" xfId="0" applyNumberFormat="1" applyFont="1" applyBorder="1"/>
    <xf numFmtId="0" fontId="4" fillId="0" borderId="35" xfId="0" applyFont="1" applyBorder="1"/>
    <xf numFmtId="0" fontId="7" fillId="0" borderId="19" xfId="0" applyFont="1" applyBorder="1"/>
    <xf numFmtId="9" fontId="7" fillId="0" borderId="78" xfId="1" applyFont="1" applyBorder="1" applyAlignment="1">
      <alignment horizontal="center"/>
    </xf>
    <xf numFmtId="9" fontId="7" fillId="0" borderId="67" xfId="1" applyFont="1" applyBorder="1" applyAlignment="1">
      <alignment horizontal="center"/>
    </xf>
    <xf numFmtId="6" fontId="7" fillId="0" borderId="78" xfId="0" applyNumberFormat="1" applyFont="1" applyBorder="1"/>
    <xf numFmtId="0" fontId="7" fillId="0" borderId="6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12" borderId="18" xfId="0" applyFont="1" applyFill="1" applyBorder="1"/>
    <xf numFmtId="0" fontId="7" fillId="12" borderId="76" xfId="0" applyFont="1" applyFill="1" applyBorder="1"/>
    <xf numFmtId="6" fontId="45" fillId="2" borderId="77" xfId="0" applyNumberFormat="1" applyFont="1" applyFill="1" applyBorder="1" applyProtection="1">
      <protection locked="0"/>
    </xf>
    <xf numFmtId="168" fontId="7" fillId="0" borderId="62" xfId="4" applyNumberFormat="1" applyFont="1" applyBorder="1" applyAlignment="1">
      <alignment horizontal="center"/>
    </xf>
    <xf numFmtId="168" fontId="7" fillId="0" borderId="25" xfId="4" applyNumberFormat="1" applyFont="1" applyBorder="1" applyAlignment="1">
      <alignment horizontal="center"/>
    </xf>
    <xf numFmtId="0" fontId="7" fillId="0" borderId="78" xfId="0" applyFont="1" applyBorder="1"/>
    <xf numFmtId="0" fontId="7" fillId="0" borderId="24" xfId="0" applyFont="1" applyBorder="1" applyAlignment="1">
      <alignment wrapText="1"/>
    </xf>
    <xf numFmtId="0" fontId="7" fillId="0" borderId="35" xfId="0" applyFont="1" applyBorder="1"/>
    <xf numFmtId="6" fontId="45" fillId="2" borderId="78" xfId="0" applyNumberFormat="1" applyFont="1" applyFill="1" applyBorder="1" applyProtection="1">
      <protection locked="0"/>
    </xf>
    <xf numFmtId="6" fontId="45" fillId="2" borderId="67" xfId="0" applyNumberFormat="1" applyFont="1" applyFill="1" applyBorder="1" applyProtection="1">
      <protection locked="0"/>
    </xf>
    <xf numFmtId="0" fontId="32" fillId="7" borderId="28" xfId="2" applyFont="1" applyFill="1" applyBorder="1" applyAlignment="1" applyProtection="1">
      <alignment horizontal="center"/>
    </xf>
    <xf numFmtId="0" fontId="32" fillId="7" borderId="22" xfId="2" applyFont="1" applyFill="1" applyBorder="1" applyAlignment="1" applyProtection="1">
      <alignment horizontal="center"/>
    </xf>
    <xf numFmtId="0" fontId="32" fillId="7" borderId="29" xfId="2" applyFont="1" applyFill="1" applyBorder="1" applyAlignment="1" applyProtection="1">
      <alignment horizontal="center"/>
    </xf>
    <xf numFmtId="0" fontId="34" fillId="7" borderId="63" xfId="2" applyFont="1" applyFill="1" applyBorder="1" applyAlignment="1" applyProtection="1">
      <alignment horizontal="center"/>
    </xf>
    <xf numFmtId="0" fontId="34" fillId="7" borderId="6" xfId="2" applyFont="1" applyFill="1" applyBorder="1" applyAlignment="1" applyProtection="1">
      <alignment horizontal="center"/>
    </xf>
    <xf numFmtId="0" fontId="17" fillId="0" borderId="0" xfId="2" applyFont="1" applyBorder="1" applyAlignment="1" applyProtection="1">
      <alignment horizontal="left" vertical="top" wrapText="1"/>
    </xf>
    <xf numFmtId="0" fontId="17" fillId="0" borderId="25" xfId="2" applyFont="1" applyBorder="1" applyAlignment="1" applyProtection="1">
      <alignment horizontal="left" vertical="top" wrapText="1"/>
    </xf>
    <xf numFmtId="0" fontId="13" fillId="0" borderId="0" xfId="2" applyFont="1" applyFill="1" applyBorder="1" applyAlignment="1" applyProtection="1">
      <alignment horizontal="center" vertical="center"/>
    </xf>
    <xf numFmtId="0" fontId="42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23" fillId="0" borderId="0" xfId="2" applyFont="1" applyAlignment="1">
      <alignment horizontal="center" vertical="center" wrapText="1"/>
    </xf>
    <xf numFmtId="6" fontId="24" fillId="0" borderId="23" xfId="2" applyNumberFormat="1" applyFont="1" applyBorder="1" applyAlignment="1">
      <alignment horizontal="center"/>
    </xf>
    <xf numFmtId="0" fontId="24" fillId="0" borderId="23" xfId="2" applyFont="1" applyBorder="1" applyAlignment="1">
      <alignment horizontal="center"/>
    </xf>
    <xf numFmtId="0" fontId="14" fillId="0" borderId="19" xfId="2" applyFont="1" applyBorder="1" applyAlignment="1">
      <alignment horizontal="center"/>
    </xf>
    <xf numFmtId="5" fontId="25" fillId="0" borderId="0" xfId="2" applyNumberFormat="1" applyFont="1" applyFill="1" applyBorder="1" applyAlignment="1">
      <alignment horizontal="center"/>
    </xf>
    <xf numFmtId="0" fontId="23" fillId="0" borderId="0" xfId="2" applyFont="1" applyAlignment="1">
      <alignment horizontal="center"/>
    </xf>
    <xf numFmtId="6" fontId="24" fillId="9" borderId="6" xfId="2" applyNumberFormat="1" applyFont="1" applyFill="1" applyBorder="1" applyAlignment="1" applyProtection="1">
      <alignment horizontal="center"/>
      <protection locked="0"/>
    </xf>
    <xf numFmtId="6" fontId="24" fillId="0" borderId="2" xfId="2" applyNumberFormat="1" applyFont="1" applyBorder="1" applyAlignment="1">
      <alignment horizontal="center"/>
    </xf>
    <xf numFmtId="0" fontId="24" fillId="9" borderId="2" xfId="2" applyFont="1" applyFill="1" applyBorder="1" applyAlignment="1" applyProtection="1">
      <alignment horizontal="center"/>
      <protection locked="0"/>
    </xf>
    <xf numFmtId="0" fontId="24" fillId="0" borderId="6" xfId="2" applyFont="1" applyBorder="1" applyAlignment="1">
      <alignment horizontal="center"/>
    </xf>
    <xf numFmtId="9" fontId="24" fillId="9" borderId="20" xfId="2" applyNumberFormat="1" applyFont="1" applyFill="1" applyBorder="1" applyAlignment="1" applyProtection="1">
      <alignment horizontal="center"/>
      <protection locked="0"/>
    </xf>
    <xf numFmtId="0" fontId="24" fillId="9" borderId="20" xfId="2" applyFont="1" applyFill="1" applyBorder="1" applyAlignment="1" applyProtection="1">
      <alignment horizontal="center"/>
      <protection locked="0"/>
    </xf>
    <xf numFmtId="6" fontId="24" fillId="0" borderId="7" xfId="2" quotePrefix="1" applyNumberFormat="1" applyFont="1" applyBorder="1" applyAlignment="1">
      <alignment horizontal="center"/>
    </xf>
    <xf numFmtId="5" fontId="24" fillId="0" borderId="6" xfId="2" applyNumberFormat="1" applyFont="1" applyBorder="1" applyAlignment="1">
      <alignment horizontal="center"/>
    </xf>
    <xf numFmtId="5" fontId="24" fillId="0" borderId="19" xfId="2" applyNumberFormat="1" applyFont="1" applyBorder="1" applyAlignment="1">
      <alignment horizontal="center"/>
    </xf>
    <xf numFmtId="0" fontId="24" fillId="0" borderId="19" xfId="2" applyFont="1" applyBorder="1" applyAlignment="1">
      <alignment horizontal="center"/>
    </xf>
    <xf numFmtId="0" fontId="24" fillId="0" borderId="0" xfId="2" applyFont="1" applyAlignment="1">
      <alignment horizontal="center"/>
    </xf>
    <xf numFmtId="6" fontId="24" fillId="0" borderId="6" xfId="2" applyNumberFormat="1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6" fontId="24" fillId="0" borderId="0" xfId="2" applyNumberFormat="1" applyFont="1" applyAlignment="1">
      <alignment horizontal="center"/>
    </xf>
    <xf numFmtId="37" fontId="24" fillId="9" borderId="2" xfId="4" applyNumberFormat="1" applyFont="1" applyFill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6" fontId="15" fillId="9" borderId="19" xfId="2" applyNumberFormat="1" applyFont="1" applyFill="1" applyBorder="1" applyAlignment="1" applyProtection="1">
      <alignment horizontal="right"/>
      <protection locked="0"/>
    </xf>
    <xf numFmtId="6" fontId="14" fillId="0" borderId="0" xfId="2" applyNumberFormat="1" applyFont="1" applyBorder="1" applyAlignment="1" applyProtection="1">
      <alignment horizontal="right"/>
    </xf>
    <xf numFmtId="0" fontId="11" fillId="0" borderId="0" xfId="2" applyFont="1" applyAlignment="1" applyProtection="1">
      <alignment horizontal="center" vertical="center" wrapText="1"/>
    </xf>
    <xf numFmtId="0" fontId="13" fillId="0" borderId="0" xfId="2" applyFont="1" applyAlignment="1" applyProtection="1">
      <alignment horizontal="center" vertical="center"/>
    </xf>
    <xf numFmtId="0" fontId="17" fillId="0" borderId="0" xfId="2" applyFont="1" applyBorder="1" applyAlignment="1" applyProtection="1">
      <alignment horizontal="left" wrapText="1"/>
    </xf>
    <xf numFmtId="6" fontId="15" fillId="0" borderId="19" xfId="2" applyNumberFormat="1" applyFont="1" applyBorder="1" applyAlignment="1" applyProtection="1">
      <alignment horizontal="right"/>
    </xf>
    <xf numFmtId="6" fontId="14" fillId="0" borderId="19" xfId="2" applyNumberFormat="1" applyFont="1" applyBorder="1" applyAlignment="1" applyProtection="1">
      <alignment horizontal="right"/>
    </xf>
    <xf numFmtId="6" fontId="20" fillId="0" borderId="19" xfId="2" applyNumberFormat="1" applyFont="1" applyBorder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6" fontId="20" fillId="0" borderId="18" xfId="2" applyNumberFormat="1" applyFont="1" applyBorder="1" applyAlignment="1" applyProtection="1">
      <alignment horizontal="center"/>
    </xf>
    <xf numFmtId="0" fontId="22" fillId="7" borderId="28" xfId="2" applyFont="1" applyFill="1" applyBorder="1" applyAlignment="1" applyProtection="1">
      <alignment horizontal="center"/>
    </xf>
    <xf numFmtId="0" fontId="22" fillId="7" borderId="22" xfId="2" applyFont="1" applyFill="1" applyBorder="1" applyAlignment="1" applyProtection="1">
      <alignment horizontal="center"/>
    </xf>
    <xf numFmtId="0" fontId="22" fillId="7" borderId="29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/>
    </xf>
    <xf numFmtId="0" fontId="12" fillId="0" borderId="25" xfId="2" applyFont="1" applyFill="1" applyBorder="1" applyAlignment="1" applyProtection="1">
      <alignment horizontal="center"/>
    </xf>
    <xf numFmtId="165" fontId="21" fillId="7" borderId="4" xfId="2" applyNumberFormat="1" applyFont="1" applyFill="1" applyBorder="1" applyAlignment="1" applyProtection="1">
      <alignment horizontal="center"/>
    </xf>
    <xf numFmtId="165" fontId="21" fillId="7" borderId="31" xfId="2" applyNumberFormat="1" applyFont="1" applyFill="1" applyBorder="1" applyAlignment="1" applyProtection="1">
      <alignment horizontal="center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13" xfId="2" applyNumberFormat="1" applyFont="1" applyBorder="1" applyAlignment="1" applyProtection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11" xfId="2" applyNumberFormat="1" applyFont="1" applyBorder="1" applyAlignment="1" applyProtection="1">
      <alignment horizontal="center" vertical="center"/>
    </xf>
    <xf numFmtId="0" fontId="6" fillId="3" borderId="36" xfId="0" applyFont="1" applyFill="1" applyBorder="1" applyAlignment="1">
      <alignment horizontal="center" wrapText="1"/>
    </xf>
    <xf numFmtId="0" fontId="6" fillId="3" borderId="37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wrapText="1"/>
    </xf>
    <xf numFmtId="0" fontId="6" fillId="5" borderId="36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1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6" fontId="41" fillId="0" borderId="18" xfId="2" applyNumberFormat="1" applyFont="1" applyBorder="1" applyAlignment="1" applyProtection="1">
      <alignment horizontal="center"/>
    </xf>
    <xf numFmtId="6" fontId="41" fillId="0" borderId="19" xfId="2" applyNumberFormat="1" applyFont="1" applyBorder="1" applyAlignment="1" applyProtection="1">
      <alignment horizontal="right"/>
    </xf>
    <xf numFmtId="6" fontId="41" fillId="0" borderId="19" xfId="2" applyNumberFormat="1" applyFont="1" applyBorder="1" applyAlignment="1" applyProtection="1">
      <alignment horizontal="center"/>
    </xf>
  </cellXfs>
  <cellStyles count="5">
    <cellStyle name="Comma" xfId="4" builtinId="3"/>
    <cellStyle name="Normal" xfId="0" builtinId="0"/>
    <cellStyle name="Normal 2" xfId="2" xr:uid="{00000000-0005-0000-0000-000002000000}"/>
    <cellStyle name="Normal 3" xfId="3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69"/>
  <sheetViews>
    <sheetView showGridLines="0" zoomScale="75" zoomScaleNormal="75" workbookViewId="0">
      <selection activeCell="P10" sqref="P10"/>
    </sheetView>
  </sheetViews>
  <sheetFormatPr defaultColWidth="9.1796875" defaultRowHeight="12.5" x14ac:dyDescent="0.25"/>
  <cols>
    <col min="1" max="1" width="2.81640625" style="133" customWidth="1"/>
    <col min="2" max="2" width="51.81640625" style="133" customWidth="1"/>
    <col min="3" max="3" width="14.7265625" style="133" customWidth="1"/>
    <col min="4" max="4" width="18.7265625" style="133" customWidth="1"/>
    <col min="5" max="5" width="2.81640625" style="133" customWidth="1"/>
    <col min="6" max="6" width="18.7265625" style="133" customWidth="1"/>
    <col min="7" max="7" width="2.81640625" style="133" customWidth="1"/>
    <col min="8" max="8" width="18.7265625" style="133" customWidth="1"/>
    <col min="9" max="9" width="2.81640625" style="133" customWidth="1"/>
    <col min="10" max="10" width="18.7265625" style="133" customWidth="1"/>
    <col min="11" max="11" width="2.81640625" style="133" customWidth="1"/>
    <col min="12" max="12" width="18.7265625" style="133" customWidth="1"/>
    <col min="13" max="13" width="9.1796875" style="133"/>
    <col min="14" max="15" width="9.26953125" style="133" bestFit="1" customWidth="1"/>
    <col min="16" max="16" width="11.453125" style="133" bestFit="1" customWidth="1"/>
    <col min="17" max="18" width="9.26953125" style="133" bestFit="1" customWidth="1"/>
    <col min="19" max="16384" width="9.1796875" style="133"/>
  </cols>
  <sheetData>
    <row r="1" spans="1:20" ht="23" x14ac:dyDescent="0.5">
      <c r="A1" s="359" t="s">
        <v>269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1"/>
    </row>
    <row r="2" spans="1:20" ht="24.75" customHeight="1" x14ac:dyDescent="0.25">
      <c r="A2" s="134"/>
      <c r="B2" s="135"/>
      <c r="C2" s="135"/>
      <c r="D2" s="136" t="s">
        <v>270</v>
      </c>
      <c r="E2" s="135"/>
      <c r="F2" s="137">
        <v>2020</v>
      </c>
      <c r="G2" s="135"/>
      <c r="H2" s="135"/>
      <c r="I2" s="135"/>
      <c r="J2" s="135"/>
      <c r="K2" s="135"/>
      <c r="L2" s="138"/>
    </row>
    <row r="3" spans="1:20" ht="20.149999999999999" customHeight="1" x14ac:dyDescent="0.4">
      <c r="A3" s="362" t="s">
        <v>271</v>
      </c>
      <c r="B3" s="363"/>
      <c r="C3" s="139"/>
      <c r="D3" s="140" t="s">
        <v>272</v>
      </c>
      <c r="E3" s="140"/>
      <c r="F3" s="140" t="s">
        <v>273</v>
      </c>
      <c r="G3" s="140"/>
      <c r="H3" s="140" t="s">
        <v>274</v>
      </c>
      <c r="I3" s="140"/>
      <c r="J3" s="140" t="s">
        <v>275</v>
      </c>
      <c r="K3" s="140"/>
      <c r="L3" s="141" t="s">
        <v>268</v>
      </c>
    </row>
    <row r="4" spans="1:20" ht="9.75" customHeight="1" x14ac:dyDescent="0.3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6"/>
    </row>
    <row r="5" spans="1:20" ht="20.149999999999999" customHeight="1" x14ac:dyDescent="0.4">
      <c r="A5" s="147"/>
      <c r="B5" s="148" t="s">
        <v>276</v>
      </c>
      <c r="C5" s="149"/>
      <c r="D5" s="150"/>
      <c r="E5" s="150"/>
      <c r="F5" s="150"/>
      <c r="G5" s="150"/>
      <c r="H5" s="150"/>
      <c r="I5" s="150"/>
      <c r="J5" s="150"/>
      <c r="K5" s="150"/>
      <c r="L5" s="151"/>
      <c r="N5" s="152"/>
      <c r="O5" s="152"/>
      <c r="P5" s="152"/>
      <c r="Q5" s="152"/>
      <c r="R5" s="152"/>
      <c r="S5" s="152"/>
      <c r="T5" s="152"/>
    </row>
    <row r="6" spans="1:20" ht="21" customHeight="1" x14ac:dyDescent="0.35">
      <c r="A6" s="142"/>
      <c r="B6" s="153" t="s">
        <v>375</v>
      </c>
      <c r="C6" s="154"/>
      <c r="D6" s="251"/>
      <c r="E6" s="252"/>
      <c r="F6" s="251"/>
      <c r="G6" s="252"/>
      <c r="H6" s="251">
        <f>25740*0.8</f>
        <v>20592</v>
      </c>
      <c r="I6" s="252"/>
      <c r="J6" s="251">
        <f>25740-H6</f>
        <v>5148</v>
      </c>
      <c r="K6" s="252"/>
      <c r="L6" s="250">
        <f t="shared" ref="L6:L11" si="0">SUM(D6:J6)</f>
        <v>25740</v>
      </c>
      <c r="N6" s="152"/>
      <c r="O6" s="155"/>
      <c r="P6" s="155"/>
      <c r="Q6" s="155"/>
      <c r="R6" s="155"/>
      <c r="S6" s="152"/>
      <c r="T6" s="152"/>
    </row>
    <row r="7" spans="1:20" ht="21" customHeight="1" x14ac:dyDescent="0.35">
      <c r="A7" s="142"/>
      <c r="B7" s="153" t="s">
        <v>376</v>
      </c>
      <c r="C7" s="156"/>
      <c r="D7" s="253"/>
      <c r="E7" s="252"/>
      <c r="F7" s="253">
        <v>620</v>
      </c>
      <c r="G7" s="252"/>
      <c r="H7" s="253"/>
      <c r="I7" s="252"/>
      <c r="J7" s="253">
        <v>1000</v>
      </c>
      <c r="K7" s="252"/>
      <c r="L7" s="254">
        <f t="shared" si="0"/>
        <v>1620</v>
      </c>
      <c r="N7" s="152"/>
      <c r="O7" s="155"/>
      <c r="P7" s="155"/>
      <c r="Q7" s="155"/>
      <c r="R7" s="155"/>
      <c r="S7" s="152"/>
      <c r="T7" s="152"/>
    </row>
    <row r="8" spans="1:20" ht="21" customHeight="1" x14ac:dyDescent="0.35">
      <c r="A8" s="142"/>
      <c r="B8" s="153" t="s">
        <v>377</v>
      </c>
      <c r="C8" s="156"/>
      <c r="D8" s="253"/>
      <c r="E8" s="252"/>
      <c r="F8" s="253"/>
      <c r="G8" s="252"/>
      <c r="H8" s="253">
        <v>435</v>
      </c>
      <c r="I8" s="252"/>
      <c r="J8" s="253"/>
      <c r="K8" s="252"/>
      <c r="L8" s="254">
        <f t="shared" si="0"/>
        <v>435</v>
      </c>
      <c r="N8" s="152"/>
      <c r="O8" s="155"/>
      <c r="P8" s="155"/>
      <c r="Q8" s="155"/>
      <c r="R8" s="155"/>
      <c r="S8" s="152"/>
      <c r="T8" s="152"/>
    </row>
    <row r="9" spans="1:20" ht="21" customHeight="1" x14ac:dyDescent="0.35">
      <c r="A9" s="142"/>
      <c r="B9" s="157" t="s">
        <v>280</v>
      </c>
      <c r="C9" s="156"/>
      <c r="D9" s="253"/>
      <c r="E9" s="252"/>
      <c r="F9" s="253"/>
      <c r="G9" s="252"/>
      <c r="H9" s="253"/>
      <c r="I9" s="252"/>
      <c r="J9" s="253"/>
      <c r="K9" s="252"/>
      <c r="L9" s="254">
        <f t="shared" si="0"/>
        <v>0</v>
      </c>
      <c r="N9" s="152"/>
      <c r="O9" s="155"/>
      <c r="P9" s="155"/>
      <c r="Q9" s="155"/>
      <c r="R9" s="155"/>
      <c r="S9" s="152"/>
      <c r="T9" s="152"/>
    </row>
    <row r="10" spans="1:20" ht="21" customHeight="1" x14ac:dyDescent="0.35">
      <c r="A10" s="142"/>
      <c r="B10" s="157" t="s">
        <v>281</v>
      </c>
      <c r="C10" s="156"/>
      <c r="D10" s="253"/>
      <c r="E10" s="252"/>
      <c r="F10" s="253"/>
      <c r="G10" s="252"/>
      <c r="H10" s="253"/>
      <c r="I10" s="252"/>
      <c r="J10" s="253"/>
      <c r="K10" s="252"/>
      <c r="L10" s="254">
        <f t="shared" si="0"/>
        <v>0</v>
      </c>
      <c r="N10" s="152"/>
      <c r="O10" s="155"/>
      <c r="P10" s="155"/>
      <c r="Q10" s="155"/>
      <c r="R10" s="155"/>
      <c r="S10" s="152"/>
      <c r="T10" s="152"/>
    </row>
    <row r="11" spans="1:20" ht="21" customHeight="1" x14ac:dyDescent="0.35">
      <c r="A11" s="142"/>
      <c r="B11" s="157" t="s">
        <v>282</v>
      </c>
      <c r="C11" s="156"/>
      <c r="D11" s="253"/>
      <c r="E11" s="252"/>
      <c r="F11" s="253"/>
      <c r="G11" s="252"/>
      <c r="H11" s="253"/>
      <c r="I11" s="252"/>
      <c r="J11" s="253"/>
      <c r="K11" s="252"/>
      <c r="L11" s="254">
        <f t="shared" si="0"/>
        <v>0</v>
      </c>
      <c r="N11" s="152"/>
      <c r="O11" s="155"/>
      <c r="P11" s="155"/>
      <c r="Q11" s="155"/>
      <c r="R11" s="155"/>
      <c r="S11" s="152"/>
      <c r="T11" s="152"/>
    </row>
    <row r="12" spans="1:20" ht="6" customHeight="1" thickBot="1" x14ac:dyDescent="0.4">
      <c r="A12" s="158"/>
      <c r="B12" s="159"/>
      <c r="C12" s="160"/>
      <c r="D12" s="255"/>
      <c r="E12" s="255"/>
      <c r="F12" s="255"/>
      <c r="G12" s="255"/>
      <c r="H12" s="255"/>
      <c r="I12" s="255"/>
      <c r="J12" s="255"/>
      <c r="K12" s="255"/>
      <c r="L12" s="256"/>
      <c r="N12" s="152"/>
      <c r="O12" s="155"/>
      <c r="P12" s="155"/>
      <c r="Q12" s="155"/>
      <c r="R12" s="155"/>
      <c r="S12" s="152"/>
      <c r="T12" s="152"/>
    </row>
    <row r="13" spans="1:20" ht="21" customHeight="1" x14ac:dyDescent="0.35">
      <c r="A13" s="142" t="s">
        <v>283</v>
      </c>
      <c r="B13" s="35" t="s">
        <v>284</v>
      </c>
      <c r="C13" s="161"/>
      <c r="D13" s="248">
        <f>SUM(D6:D11)</f>
        <v>0</v>
      </c>
      <c r="E13" s="249"/>
      <c r="F13" s="248">
        <f>SUM(F6:F11)</f>
        <v>620</v>
      </c>
      <c r="G13" s="249"/>
      <c r="H13" s="248">
        <f>SUM(H6:H11)</f>
        <v>21027</v>
      </c>
      <c r="I13" s="249"/>
      <c r="J13" s="248">
        <f>SUM(J6:J11)</f>
        <v>6148</v>
      </c>
      <c r="K13" s="249"/>
      <c r="L13" s="250">
        <f>SUM(L6:L11)</f>
        <v>27795</v>
      </c>
      <c r="N13" s="152"/>
      <c r="O13" s="152"/>
      <c r="P13" s="152"/>
      <c r="Q13" s="152"/>
      <c r="R13" s="152"/>
      <c r="S13" s="152"/>
      <c r="T13" s="152"/>
    </row>
    <row r="14" spans="1:20" ht="9" customHeight="1" x14ac:dyDescent="0.35">
      <c r="A14" s="142"/>
      <c r="B14" s="162"/>
      <c r="C14" s="163"/>
      <c r="D14" s="257"/>
      <c r="E14" s="257"/>
      <c r="F14" s="257"/>
      <c r="G14" s="257"/>
      <c r="H14" s="257"/>
      <c r="I14" s="257"/>
      <c r="J14" s="257"/>
      <c r="K14" s="257"/>
      <c r="L14" s="258"/>
      <c r="N14" s="152"/>
      <c r="O14" s="152"/>
      <c r="P14" s="152"/>
      <c r="Q14" s="152"/>
      <c r="R14" s="152"/>
      <c r="S14" s="152"/>
      <c r="T14" s="152"/>
    </row>
    <row r="15" spans="1:20" ht="20.149999999999999" customHeight="1" thickBot="1" x14ac:dyDescent="0.45">
      <c r="A15" s="164"/>
      <c r="B15" s="148" t="s">
        <v>285</v>
      </c>
      <c r="C15" s="149"/>
      <c r="D15" s="259"/>
      <c r="E15" s="259"/>
      <c r="F15" s="259"/>
      <c r="G15" s="259"/>
      <c r="H15" s="259"/>
      <c r="I15" s="259"/>
      <c r="J15" s="259"/>
      <c r="K15" s="259"/>
      <c r="L15" s="260"/>
      <c r="M15" s="165" t="s">
        <v>286</v>
      </c>
      <c r="N15" s="152"/>
      <c r="O15" s="152"/>
      <c r="P15" s="152"/>
      <c r="Q15" s="152"/>
      <c r="R15" s="152"/>
      <c r="S15" s="152"/>
      <c r="T15" s="152"/>
    </row>
    <row r="16" spans="1:20" ht="21" customHeight="1" x14ac:dyDescent="0.35">
      <c r="A16" s="142"/>
      <c r="B16" s="153" t="s">
        <v>287</v>
      </c>
      <c r="C16" s="161"/>
      <c r="D16" s="261"/>
      <c r="E16" s="252"/>
      <c r="F16" s="261"/>
      <c r="G16" s="262"/>
      <c r="H16" s="261"/>
      <c r="I16" s="262"/>
      <c r="J16" s="261"/>
      <c r="K16" s="262"/>
      <c r="L16" s="263">
        <f t="shared" ref="L16:L43" si="1">SUM(D16:J16)</f>
        <v>0</v>
      </c>
      <c r="M16" s="166"/>
      <c r="N16" s="152" t="s">
        <v>288</v>
      </c>
      <c r="O16" s="155"/>
      <c r="P16" s="155"/>
      <c r="Q16" s="155"/>
      <c r="R16" s="155"/>
      <c r="S16" s="152"/>
      <c r="T16" s="152"/>
    </row>
    <row r="17" spans="1:20" ht="21" customHeight="1" x14ac:dyDescent="0.35">
      <c r="A17" s="142"/>
      <c r="B17" s="157" t="s">
        <v>289</v>
      </c>
      <c r="C17" s="161"/>
      <c r="D17" s="253"/>
      <c r="E17" s="252"/>
      <c r="F17" s="253"/>
      <c r="G17" s="252"/>
      <c r="H17" s="253"/>
      <c r="I17" s="252"/>
      <c r="J17" s="253"/>
      <c r="K17" s="252"/>
      <c r="L17" s="254">
        <f t="shared" si="1"/>
        <v>0</v>
      </c>
      <c r="M17" s="166"/>
      <c r="N17" s="152"/>
      <c r="O17" s="155"/>
      <c r="P17" s="155"/>
      <c r="Q17" s="155"/>
      <c r="R17" s="155"/>
      <c r="S17" s="152"/>
      <c r="T17" s="152"/>
    </row>
    <row r="18" spans="1:20" ht="21" customHeight="1" x14ac:dyDescent="0.35">
      <c r="A18" s="142"/>
      <c r="B18" s="157" t="s">
        <v>290</v>
      </c>
      <c r="C18" s="161"/>
      <c r="D18" s="253"/>
      <c r="E18" s="252"/>
      <c r="F18" s="253"/>
      <c r="G18" s="252"/>
      <c r="H18" s="253"/>
      <c r="I18" s="252"/>
      <c r="J18" s="253"/>
      <c r="K18" s="252"/>
      <c r="L18" s="254">
        <f t="shared" si="1"/>
        <v>0</v>
      </c>
      <c r="M18" s="166"/>
      <c r="N18" s="152"/>
      <c r="O18" s="155"/>
      <c r="P18" s="155"/>
      <c r="Q18" s="155"/>
      <c r="R18" s="155"/>
      <c r="S18" s="152"/>
      <c r="T18" s="152"/>
    </row>
    <row r="19" spans="1:20" ht="21" customHeight="1" x14ac:dyDescent="0.35">
      <c r="A19" s="142"/>
      <c r="B19" s="157" t="s">
        <v>291</v>
      </c>
      <c r="C19" s="161"/>
      <c r="D19" s="253"/>
      <c r="E19" s="252"/>
      <c r="F19" s="253"/>
      <c r="G19" s="252"/>
      <c r="H19" s="253"/>
      <c r="I19" s="252"/>
      <c r="J19" s="253"/>
      <c r="K19" s="252"/>
      <c r="L19" s="254">
        <f t="shared" si="1"/>
        <v>0</v>
      </c>
      <c r="M19" s="166"/>
      <c r="N19" s="152"/>
      <c r="O19" s="155"/>
      <c r="P19" s="155"/>
      <c r="Q19" s="155"/>
      <c r="R19" s="155"/>
      <c r="S19" s="152"/>
      <c r="T19" s="152"/>
    </row>
    <row r="20" spans="1:20" ht="21" customHeight="1" x14ac:dyDescent="0.35">
      <c r="A20" s="142"/>
      <c r="B20" s="157" t="s">
        <v>292</v>
      </c>
      <c r="C20" s="161"/>
      <c r="D20" s="253"/>
      <c r="E20" s="252"/>
      <c r="F20" s="253"/>
      <c r="G20" s="252"/>
      <c r="H20" s="253"/>
      <c r="I20" s="252"/>
      <c r="J20" s="253"/>
      <c r="K20" s="252"/>
      <c r="L20" s="254">
        <f t="shared" si="1"/>
        <v>0</v>
      </c>
      <c r="M20" s="166"/>
      <c r="N20" s="152"/>
      <c r="O20" s="155"/>
      <c r="P20" s="167"/>
      <c r="Q20" s="155"/>
      <c r="R20" s="155"/>
      <c r="S20" s="152"/>
      <c r="T20" s="152"/>
    </row>
    <row r="21" spans="1:20" ht="21" customHeight="1" x14ac:dyDescent="0.35">
      <c r="A21" s="142"/>
      <c r="B21" s="157" t="s">
        <v>293</v>
      </c>
      <c r="C21" s="161"/>
      <c r="D21" s="253">
        <f>4539-J21</f>
        <v>739</v>
      </c>
      <c r="E21" s="252"/>
      <c r="F21" s="253"/>
      <c r="G21" s="252"/>
      <c r="H21" s="253"/>
      <c r="I21" s="252"/>
      <c r="J21" s="253">
        <v>3800</v>
      </c>
      <c r="K21" s="252"/>
      <c r="L21" s="254">
        <f t="shared" si="1"/>
        <v>4539</v>
      </c>
      <c r="M21" s="166"/>
      <c r="N21" s="152"/>
      <c r="O21" s="155"/>
      <c r="P21" s="167"/>
      <c r="Q21" s="168"/>
      <c r="R21" s="155"/>
      <c r="S21" s="152"/>
      <c r="T21" s="152"/>
    </row>
    <row r="22" spans="1:20" ht="21" customHeight="1" x14ac:dyDescent="0.35">
      <c r="A22" s="142"/>
      <c r="B22" s="157" t="s">
        <v>294</v>
      </c>
      <c r="C22" s="161"/>
      <c r="D22" s="253"/>
      <c r="E22" s="252"/>
      <c r="F22" s="253">
        <v>436</v>
      </c>
      <c r="G22" s="252"/>
      <c r="H22" s="253"/>
      <c r="I22" s="252"/>
      <c r="J22" s="253">
        <v>693</v>
      </c>
      <c r="K22" s="252"/>
      <c r="L22" s="254">
        <f t="shared" si="1"/>
        <v>1129</v>
      </c>
      <c r="M22" s="166"/>
      <c r="N22" s="152"/>
      <c r="O22" s="155"/>
      <c r="P22" s="167"/>
      <c r="Q22" s="168"/>
      <c r="R22" s="155"/>
      <c r="S22" s="152"/>
      <c r="T22" s="152"/>
    </row>
    <row r="23" spans="1:20" ht="21" customHeight="1" x14ac:dyDescent="0.35">
      <c r="A23" s="142"/>
      <c r="B23" s="157" t="s">
        <v>295</v>
      </c>
      <c r="C23" s="161"/>
      <c r="D23" s="253"/>
      <c r="E23" s="252"/>
      <c r="F23" s="253"/>
      <c r="G23" s="252"/>
      <c r="H23" s="253">
        <v>487</v>
      </c>
      <c r="I23" s="252"/>
      <c r="J23" s="253">
        <v>68</v>
      </c>
      <c r="K23" s="252"/>
      <c r="L23" s="254">
        <f t="shared" si="1"/>
        <v>555</v>
      </c>
      <c r="M23" s="166"/>
      <c r="N23" s="152"/>
      <c r="O23" s="155"/>
      <c r="P23" s="167"/>
      <c r="Q23" s="168"/>
      <c r="R23" s="155"/>
      <c r="S23" s="152"/>
      <c r="T23" s="152"/>
    </row>
    <row r="24" spans="1:20" ht="21" customHeight="1" x14ac:dyDescent="0.35">
      <c r="A24" s="142"/>
      <c r="B24" s="157" t="s">
        <v>296</v>
      </c>
      <c r="C24" s="161"/>
      <c r="D24" s="253"/>
      <c r="E24" s="252"/>
      <c r="F24" s="253">
        <v>2178</v>
      </c>
      <c r="G24" s="252"/>
      <c r="H24" s="253">
        <v>3000</v>
      </c>
      <c r="I24" s="252"/>
      <c r="J24" s="253"/>
      <c r="K24" s="252"/>
      <c r="L24" s="254">
        <f t="shared" si="1"/>
        <v>5178</v>
      </c>
      <c r="M24" s="166"/>
      <c r="N24" s="152"/>
      <c r="O24" s="155"/>
      <c r="P24" s="167"/>
      <c r="Q24" s="168"/>
      <c r="R24" s="155"/>
      <c r="S24" s="152"/>
      <c r="T24" s="152"/>
    </row>
    <row r="25" spans="1:20" ht="21" customHeight="1" x14ac:dyDescent="0.35">
      <c r="A25" s="142"/>
      <c r="B25" s="157" t="s">
        <v>297</v>
      </c>
      <c r="C25" s="161"/>
      <c r="D25" s="253">
        <v>1000</v>
      </c>
      <c r="E25" s="252"/>
      <c r="F25" s="253"/>
      <c r="G25" s="252"/>
      <c r="H25" s="253"/>
      <c r="I25" s="252"/>
      <c r="J25" s="253"/>
      <c r="K25" s="252"/>
      <c r="L25" s="254">
        <f t="shared" si="1"/>
        <v>1000</v>
      </c>
      <c r="M25" s="166"/>
      <c r="N25" s="152"/>
      <c r="O25" s="155"/>
      <c r="P25" s="167"/>
      <c r="Q25" s="168"/>
      <c r="R25" s="155"/>
      <c r="S25" s="152"/>
      <c r="T25" s="152"/>
    </row>
    <row r="26" spans="1:20" ht="21" customHeight="1" x14ac:dyDescent="0.35">
      <c r="A26" s="142"/>
      <c r="B26" s="157" t="s">
        <v>298</v>
      </c>
      <c r="C26" s="161"/>
      <c r="D26" s="253"/>
      <c r="E26" s="252"/>
      <c r="F26" s="253"/>
      <c r="G26" s="252"/>
      <c r="H26" s="253"/>
      <c r="I26" s="252"/>
      <c r="J26" s="253"/>
      <c r="K26" s="252"/>
      <c r="L26" s="254">
        <f t="shared" si="1"/>
        <v>0</v>
      </c>
      <c r="M26" s="166"/>
      <c r="N26" s="152"/>
      <c r="O26" s="155"/>
      <c r="P26" s="169"/>
      <c r="Q26" s="168"/>
      <c r="R26" s="155"/>
      <c r="S26" s="152"/>
      <c r="T26" s="152"/>
    </row>
    <row r="27" spans="1:20" ht="21" customHeight="1" x14ac:dyDescent="0.35">
      <c r="A27" s="142"/>
      <c r="B27" s="157" t="s">
        <v>299</v>
      </c>
      <c r="C27" s="161"/>
      <c r="D27" s="253"/>
      <c r="E27" s="252"/>
      <c r="F27" s="253"/>
      <c r="G27" s="252"/>
      <c r="H27" s="253"/>
      <c r="I27" s="252"/>
      <c r="J27" s="253"/>
      <c r="K27" s="252"/>
      <c r="L27" s="254">
        <f t="shared" si="1"/>
        <v>0</v>
      </c>
      <c r="M27" s="166"/>
      <c r="N27" s="152"/>
      <c r="O27" s="155"/>
      <c r="P27" s="155"/>
      <c r="Q27" s="155"/>
      <c r="R27" s="155"/>
      <c r="S27" s="152"/>
      <c r="T27" s="152"/>
    </row>
    <row r="28" spans="1:20" ht="21" customHeight="1" x14ac:dyDescent="0.35">
      <c r="A28" s="142"/>
      <c r="B28" s="157" t="s">
        <v>300</v>
      </c>
      <c r="C28" s="161"/>
      <c r="D28" s="253"/>
      <c r="E28" s="252"/>
      <c r="F28" s="253"/>
      <c r="G28" s="252"/>
      <c r="H28" s="253"/>
      <c r="I28" s="252"/>
      <c r="J28" s="253"/>
      <c r="K28" s="252"/>
      <c r="L28" s="254">
        <f t="shared" si="1"/>
        <v>0</v>
      </c>
      <c r="M28" s="166"/>
      <c r="N28" s="152"/>
      <c r="O28" s="155"/>
      <c r="P28" s="155"/>
      <c r="Q28" s="155"/>
      <c r="R28" s="155"/>
      <c r="S28" s="152"/>
      <c r="T28" s="152"/>
    </row>
    <row r="29" spans="1:20" ht="21" customHeight="1" x14ac:dyDescent="0.35">
      <c r="A29" s="142"/>
      <c r="B29" s="157" t="s">
        <v>301</v>
      </c>
      <c r="C29" s="161"/>
      <c r="D29" s="253"/>
      <c r="E29" s="252"/>
      <c r="F29" s="253"/>
      <c r="G29" s="252"/>
      <c r="H29" s="253"/>
      <c r="I29" s="252"/>
      <c r="J29" s="253"/>
      <c r="K29" s="252"/>
      <c r="L29" s="254">
        <f t="shared" si="1"/>
        <v>0</v>
      </c>
      <c r="M29" s="166"/>
      <c r="N29" s="152"/>
      <c r="O29" s="155"/>
      <c r="P29" s="167"/>
      <c r="Q29" s="168"/>
      <c r="R29" s="155"/>
      <c r="S29" s="152"/>
      <c r="T29" s="152"/>
    </row>
    <row r="30" spans="1:20" ht="21" customHeight="1" x14ac:dyDescent="0.35">
      <c r="A30" s="142"/>
      <c r="B30" s="157" t="s">
        <v>302</v>
      </c>
      <c r="C30" s="161"/>
      <c r="D30" s="253"/>
      <c r="E30" s="252"/>
      <c r="F30" s="253">
        <v>300</v>
      </c>
      <c r="G30" s="252"/>
      <c r="H30" s="253"/>
      <c r="I30" s="252"/>
      <c r="J30" s="253"/>
      <c r="K30" s="252"/>
      <c r="L30" s="254">
        <f t="shared" si="1"/>
        <v>300</v>
      </c>
      <c r="M30" s="166"/>
      <c r="N30" s="152"/>
      <c r="O30" s="155"/>
      <c r="P30" s="155"/>
      <c r="Q30" s="155"/>
      <c r="R30" s="155"/>
      <c r="S30" s="152"/>
      <c r="T30" s="152"/>
    </row>
    <row r="31" spans="1:20" ht="21" customHeight="1" x14ac:dyDescent="0.35">
      <c r="A31" s="142"/>
      <c r="B31" s="157" t="s">
        <v>303</v>
      </c>
      <c r="C31" s="161"/>
      <c r="D31" s="253"/>
      <c r="E31" s="252"/>
      <c r="F31" s="253"/>
      <c r="G31" s="252"/>
      <c r="H31" s="253"/>
      <c r="I31" s="252"/>
      <c r="J31" s="253"/>
      <c r="K31" s="252"/>
      <c r="L31" s="254">
        <f t="shared" si="1"/>
        <v>0</v>
      </c>
      <c r="M31" s="166"/>
      <c r="N31" s="152"/>
      <c r="O31" s="155"/>
      <c r="P31" s="155"/>
      <c r="Q31" s="170"/>
      <c r="R31" s="155"/>
      <c r="S31" s="152"/>
      <c r="T31" s="152"/>
    </row>
    <row r="32" spans="1:20" ht="21" customHeight="1" x14ac:dyDescent="0.35">
      <c r="A32" s="142"/>
      <c r="B32" s="157" t="s">
        <v>304</v>
      </c>
      <c r="C32" s="161"/>
      <c r="D32" s="253"/>
      <c r="E32" s="252"/>
      <c r="F32" s="253"/>
      <c r="G32" s="252"/>
      <c r="H32" s="253"/>
      <c r="I32" s="252"/>
      <c r="J32" s="253"/>
      <c r="K32" s="252"/>
      <c r="L32" s="254">
        <f t="shared" si="1"/>
        <v>0</v>
      </c>
      <c r="M32" s="166"/>
      <c r="N32" s="152"/>
      <c r="O32" s="155"/>
      <c r="P32" s="155"/>
      <c r="Q32" s="155"/>
      <c r="R32" s="155"/>
      <c r="S32" s="152"/>
      <c r="T32" s="152"/>
    </row>
    <row r="33" spans="1:20" ht="21" customHeight="1" x14ac:dyDescent="0.35">
      <c r="A33" s="142"/>
      <c r="B33" s="157" t="s">
        <v>305</v>
      </c>
      <c r="C33" s="161"/>
      <c r="D33" s="253">
        <v>100</v>
      </c>
      <c r="E33" s="252"/>
      <c r="F33" s="253"/>
      <c r="G33" s="252"/>
      <c r="H33" s="253"/>
      <c r="I33" s="252"/>
      <c r="J33" s="253">
        <v>100</v>
      </c>
      <c r="K33" s="252"/>
      <c r="L33" s="254">
        <f t="shared" si="1"/>
        <v>200</v>
      </c>
      <c r="M33" s="166"/>
      <c r="N33" s="152"/>
      <c r="O33" s="155"/>
      <c r="P33" s="155"/>
      <c r="Q33" s="155"/>
      <c r="R33" s="155"/>
      <c r="S33" s="152"/>
      <c r="T33" s="152"/>
    </row>
    <row r="34" spans="1:20" ht="21" customHeight="1" x14ac:dyDescent="0.35">
      <c r="A34" s="142"/>
      <c r="B34" s="157" t="s">
        <v>306</v>
      </c>
      <c r="C34" s="161"/>
      <c r="D34" s="253"/>
      <c r="E34" s="252"/>
      <c r="F34" s="253">
        <v>1000</v>
      </c>
      <c r="G34" s="252"/>
      <c r="H34" s="253"/>
      <c r="I34" s="252"/>
      <c r="J34" s="253">
        <v>1000</v>
      </c>
      <c r="K34" s="252"/>
      <c r="L34" s="254">
        <f t="shared" si="1"/>
        <v>2000</v>
      </c>
      <c r="M34" s="166"/>
      <c r="N34" s="152"/>
      <c r="O34" s="155"/>
      <c r="P34" s="155"/>
      <c r="Q34" s="155"/>
      <c r="R34" s="155"/>
      <c r="S34" s="152"/>
      <c r="T34" s="152"/>
    </row>
    <row r="35" spans="1:20" ht="21" customHeight="1" x14ac:dyDescent="0.35">
      <c r="A35" s="142"/>
      <c r="B35" s="157" t="s">
        <v>307</v>
      </c>
      <c r="C35" s="161"/>
      <c r="D35" s="253">
        <v>25</v>
      </c>
      <c r="E35" s="252"/>
      <c r="F35" s="253">
        <v>20</v>
      </c>
      <c r="G35" s="252"/>
      <c r="H35" s="253">
        <v>20</v>
      </c>
      <c r="I35" s="252"/>
      <c r="J35" s="253">
        <v>25</v>
      </c>
      <c r="K35" s="252"/>
      <c r="L35" s="254">
        <f t="shared" si="1"/>
        <v>90</v>
      </c>
      <c r="M35" s="166"/>
      <c r="N35" s="152"/>
      <c r="O35" s="155"/>
      <c r="P35" s="155"/>
      <c r="Q35" s="155"/>
      <c r="R35" s="155"/>
      <c r="S35" s="152"/>
      <c r="T35" s="152"/>
    </row>
    <row r="36" spans="1:20" ht="21" customHeight="1" x14ac:dyDescent="0.35">
      <c r="A36" s="142"/>
      <c r="B36" s="157" t="s">
        <v>308</v>
      </c>
      <c r="C36" s="161"/>
      <c r="D36" s="253"/>
      <c r="E36" s="252"/>
      <c r="F36" s="253">
        <v>931</v>
      </c>
      <c r="G36" s="252"/>
      <c r="H36" s="253"/>
      <c r="I36" s="252"/>
      <c r="J36" s="253">
        <v>931</v>
      </c>
      <c r="K36" s="252"/>
      <c r="L36" s="254">
        <f t="shared" si="1"/>
        <v>1862</v>
      </c>
      <c r="N36" s="152"/>
      <c r="O36" s="155"/>
      <c r="P36" s="155"/>
      <c r="Q36" s="155"/>
      <c r="R36" s="155"/>
      <c r="S36" s="152"/>
      <c r="T36" s="152"/>
    </row>
    <row r="37" spans="1:20" ht="21" customHeight="1" x14ac:dyDescent="0.35">
      <c r="A37" s="142"/>
      <c r="B37" s="157" t="s">
        <v>378</v>
      </c>
      <c r="C37" s="161"/>
      <c r="D37" s="253"/>
      <c r="E37" s="252"/>
      <c r="F37" s="253"/>
      <c r="G37" s="252"/>
      <c r="H37" s="253">
        <v>1000</v>
      </c>
      <c r="I37" s="252"/>
      <c r="J37" s="253">
        <v>322</v>
      </c>
      <c r="K37" s="252"/>
      <c r="L37" s="254">
        <f t="shared" si="1"/>
        <v>1322</v>
      </c>
      <c r="N37" s="152"/>
      <c r="O37" s="155"/>
      <c r="P37" s="155"/>
      <c r="Q37" s="155"/>
      <c r="R37" s="155"/>
      <c r="S37" s="152"/>
      <c r="T37" s="152"/>
    </row>
    <row r="38" spans="1:20" ht="21" customHeight="1" x14ac:dyDescent="0.35">
      <c r="A38" s="142"/>
      <c r="B38" s="157" t="s">
        <v>93</v>
      </c>
      <c r="C38" s="161"/>
      <c r="D38" s="253">
        <v>400</v>
      </c>
      <c r="E38" s="252"/>
      <c r="F38" s="264">
        <v>400</v>
      </c>
      <c r="G38" s="252"/>
      <c r="H38" s="253">
        <v>400</v>
      </c>
      <c r="I38" s="252"/>
      <c r="J38" s="253">
        <v>400</v>
      </c>
      <c r="K38" s="252"/>
      <c r="L38" s="254">
        <f t="shared" si="1"/>
        <v>1600</v>
      </c>
      <c r="N38" s="152"/>
      <c r="O38" s="155"/>
      <c r="P38" s="155"/>
      <c r="Q38" s="155"/>
      <c r="R38" s="155"/>
      <c r="S38" s="152"/>
      <c r="T38" s="152"/>
    </row>
    <row r="39" spans="1:20" ht="21" customHeight="1" x14ac:dyDescent="0.35">
      <c r="A39" s="142"/>
      <c r="B39" s="157" t="s">
        <v>310</v>
      </c>
      <c r="C39" s="161"/>
      <c r="D39" s="253"/>
      <c r="E39" s="252"/>
      <c r="F39" s="253"/>
      <c r="G39" s="252"/>
      <c r="H39" s="253"/>
      <c r="I39" s="252"/>
      <c r="J39" s="253"/>
      <c r="K39" s="252"/>
      <c r="L39" s="254">
        <f t="shared" si="1"/>
        <v>0</v>
      </c>
      <c r="N39" s="152"/>
      <c r="O39" s="155"/>
      <c r="P39" s="155"/>
      <c r="Q39" s="155"/>
      <c r="R39" s="155"/>
      <c r="S39" s="152"/>
      <c r="T39" s="152"/>
    </row>
    <row r="40" spans="1:20" ht="21" customHeight="1" x14ac:dyDescent="0.35">
      <c r="A40" s="142"/>
      <c r="B40" s="157" t="s">
        <v>311</v>
      </c>
      <c r="C40" s="161"/>
      <c r="D40" s="265">
        <v>712</v>
      </c>
      <c r="E40" s="252"/>
      <c r="F40" s="265">
        <v>713</v>
      </c>
      <c r="G40" s="252"/>
      <c r="H40" s="265">
        <v>712</v>
      </c>
      <c r="I40" s="252"/>
      <c r="J40" s="265">
        <v>713</v>
      </c>
      <c r="K40" s="252"/>
      <c r="L40" s="254">
        <f t="shared" si="1"/>
        <v>2850</v>
      </c>
      <c r="M40" s="166"/>
      <c r="N40" s="152"/>
      <c r="O40" s="152"/>
      <c r="P40" s="152"/>
      <c r="Q40" s="152"/>
      <c r="R40" s="152"/>
      <c r="S40" s="152"/>
      <c r="T40" s="152"/>
    </row>
    <row r="41" spans="1:20" ht="21" customHeight="1" x14ac:dyDescent="0.35">
      <c r="A41" s="142"/>
      <c r="B41" s="157" t="s">
        <v>312</v>
      </c>
      <c r="C41" s="161"/>
      <c r="D41" s="265">
        <f>1250/4</f>
        <v>312.5</v>
      </c>
      <c r="E41" s="252"/>
      <c r="F41" s="265">
        <v>312</v>
      </c>
      <c r="G41" s="252"/>
      <c r="H41" s="265">
        <v>313</v>
      </c>
      <c r="I41" s="252"/>
      <c r="J41" s="265">
        <v>312</v>
      </c>
      <c r="K41" s="252"/>
      <c r="L41" s="254">
        <f t="shared" si="1"/>
        <v>1249.5</v>
      </c>
      <c r="M41" s="166"/>
      <c r="N41" s="152"/>
      <c r="O41" s="152"/>
      <c r="P41" s="152"/>
      <c r="Q41" s="152"/>
      <c r="R41" s="152"/>
      <c r="S41" s="152"/>
      <c r="T41" s="152"/>
    </row>
    <row r="42" spans="1:20" ht="21" customHeight="1" x14ac:dyDescent="0.35">
      <c r="A42" s="142"/>
      <c r="B42" s="157" t="s">
        <v>313</v>
      </c>
      <c r="C42" s="161"/>
      <c r="D42" s="253"/>
      <c r="E42" s="252"/>
      <c r="F42" s="253"/>
      <c r="G42" s="252"/>
      <c r="H42" s="253"/>
      <c r="I42" s="252"/>
      <c r="J42" s="253"/>
      <c r="K42" s="252"/>
      <c r="L42" s="254">
        <f t="shared" si="1"/>
        <v>0</v>
      </c>
      <c r="M42" s="166"/>
      <c r="N42" s="152"/>
      <c r="O42" s="152"/>
      <c r="P42" s="152"/>
      <c r="Q42" s="152"/>
      <c r="R42" s="152"/>
      <c r="S42" s="152"/>
      <c r="T42" s="152"/>
    </row>
    <row r="43" spans="1:20" ht="21" customHeight="1" x14ac:dyDescent="0.35">
      <c r="A43" s="142"/>
      <c r="B43" s="157" t="s">
        <v>314</v>
      </c>
      <c r="C43" s="161"/>
      <c r="D43" s="266"/>
      <c r="E43" s="252"/>
      <c r="F43" s="265">
        <v>1000</v>
      </c>
      <c r="G43" s="252"/>
      <c r="H43" s="265"/>
      <c r="I43" s="252"/>
      <c r="J43" s="265"/>
      <c r="K43" s="252"/>
      <c r="L43" s="254">
        <f t="shared" si="1"/>
        <v>1000</v>
      </c>
      <c r="N43" s="152"/>
      <c r="O43" s="152"/>
      <c r="P43" s="152"/>
      <c r="Q43" s="152"/>
      <c r="R43" s="152"/>
      <c r="S43" s="152"/>
      <c r="T43" s="152"/>
    </row>
    <row r="44" spans="1:20" ht="3.75" customHeight="1" thickBot="1" x14ac:dyDescent="0.4">
      <c r="A44" s="171"/>
      <c r="B44" s="159"/>
      <c r="C44" s="172"/>
      <c r="D44" s="255"/>
      <c r="E44" s="255"/>
      <c r="F44" s="267"/>
      <c r="G44" s="255"/>
      <c r="H44" s="267"/>
      <c r="I44" s="255"/>
      <c r="J44" s="267"/>
      <c r="K44" s="255"/>
      <c r="L44" s="256"/>
      <c r="N44" s="152"/>
      <c r="O44" s="152"/>
      <c r="P44" s="152"/>
      <c r="Q44" s="152"/>
      <c r="R44" s="152"/>
      <c r="S44" s="152"/>
      <c r="T44" s="152"/>
    </row>
    <row r="45" spans="1:20" ht="21.75" customHeight="1" x14ac:dyDescent="0.35">
      <c r="A45" s="142" t="s">
        <v>315</v>
      </c>
      <c r="B45" s="35" t="s">
        <v>316</v>
      </c>
      <c r="C45" s="161"/>
      <c r="D45" s="248">
        <f>SUM(D16:D43)</f>
        <v>3288.5</v>
      </c>
      <c r="E45" s="249"/>
      <c r="F45" s="248">
        <f>SUM(F16:F43)</f>
        <v>7290</v>
      </c>
      <c r="G45" s="249"/>
      <c r="H45" s="248">
        <f>SUM(H16:H43)</f>
        <v>5932</v>
      </c>
      <c r="I45" s="249"/>
      <c r="J45" s="248">
        <f>SUM(J16:J43)</f>
        <v>8364</v>
      </c>
      <c r="K45" s="249"/>
      <c r="L45" s="250">
        <f>SUM(L16:L43)</f>
        <v>24874.5</v>
      </c>
      <c r="N45" s="152"/>
      <c r="O45" s="152"/>
      <c r="P45" s="152"/>
      <c r="Q45" s="152"/>
      <c r="R45" s="152"/>
      <c r="S45" s="152"/>
      <c r="T45" s="152"/>
    </row>
    <row r="46" spans="1:20" ht="27.75" customHeight="1" x14ac:dyDescent="0.35">
      <c r="A46" s="142" t="s">
        <v>317</v>
      </c>
      <c r="B46" s="35" t="s">
        <v>318</v>
      </c>
      <c r="C46" s="161"/>
      <c r="D46" s="248">
        <f>D13-D45</f>
        <v>-3288.5</v>
      </c>
      <c r="E46" s="249"/>
      <c r="F46" s="248">
        <f>F13-F45</f>
        <v>-6670</v>
      </c>
      <c r="G46" s="249"/>
      <c r="H46" s="248">
        <f>H13-H45</f>
        <v>15095</v>
      </c>
      <c r="I46" s="249"/>
      <c r="J46" s="248">
        <f>J13-J45</f>
        <v>-2216</v>
      </c>
      <c r="K46" s="249"/>
      <c r="L46" s="250">
        <f>L13-L45</f>
        <v>2920.5</v>
      </c>
      <c r="N46" s="152"/>
      <c r="O46" s="152"/>
      <c r="P46" s="152"/>
      <c r="Q46" s="152"/>
      <c r="R46" s="152"/>
      <c r="S46" s="152"/>
      <c r="T46" s="152"/>
    </row>
    <row r="47" spans="1:20" ht="15.5" x14ac:dyDescent="0.35">
      <c r="A47" s="142"/>
      <c r="B47" s="173" t="s">
        <v>319</v>
      </c>
      <c r="C47" s="163"/>
      <c r="D47" s="249"/>
      <c r="E47" s="249"/>
      <c r="F47" s="268"/>
      <c r="G47" s="249"/>
      <c r="H47" s="249"/>
      <c r="I47" s="249"/>
      <c r="J47" s="249"/>
      <c r="K47" s="249"/>
      <c r="L47" s="269" t="s">
        <v>320</v>
      </c>
      <c r="N47" s="152"/>
      <c r="O47" s="152"/>
      <c r="P47" s="152"/>
      <c r="Q47" s="152"/>
      <c r="R47" s="152"/>
      <c r="S47" s="152"/>
      <c r="T47" s="152"/>
    </row>
    <row r="48" spans="1:20" ht="18.75" customHeight="1" x14ac:dyDescent="0.35">
      <c r="A48" s="142" t="s">
        <v>321</v>
      </c>
      <c r="B48" s="35" t="s">
        <v>322</v>
      </c>
      <c r="C48" s="163"/>
      <c r="D48" s="251">
        <v>5000</v>
      </c>
      <c r="E48" s="252"/>
      <c r="F48" s="248">
        <f>D68</f>
        <v>1711.5</v>
      </c>
      <c r="G48" s="249"/>
      <c r="H48" s="248">
        <f>F68</f>
        <v>1000</v>
      </c>
      <c r="I48" s="249"/>
      <c r="J48" s="248">
        <f>H68</f>
        <v>9898.16</v>
      </c>
      <c r="K48" s="249"/>
      <c r="L48" s="250">
        <f>D48</f>
        <v>5000</v>
      </c>
      <c r="N48" s="152"/>
      <c r="O48" s="152"/>
      <c r="P48" s="152"/>
      <c r="Q48" s="152"/>
      <c r="R48" s="152"/>
      <c r="S48" s="152"/>
      <c r="T48" s="152"/>
    </row>
    <row r="49" spans="1:20" ht="15" customHeight="1" x14ac:dyDescent="0.35">
      <c r="A49" s="142"/>
      <c r="B49" s="162"/>
      <c r="C49" s="163"/>
      <c r="D49" s="249"/>
      <c r="E49" s="249"/>
      <c r="F49" s="249"/>
      <c r="G49" s="249"/>
      <c r="H49" s="249"/>
      <c r="I49" s="249"/>
      <c r="J49" s="249"/>
      <c r="K49" s="249"/>
      <c r="L49" s="269" t="s">
        <v>323</v>
      </c>
      <c r="N49" s="152"/>
      <c r="O49" s="152"/>
      <c r="P49" s="152"/>
      <c r="Q49" s="152"/>
      <c r="R49" s="152"/>
      <c r="S49" s="152"/>
      <c r="T49" s="152"/>
    </row>
    <row r="50" spans="1:20" ht="19.5" customHeight="1" x14ac:dyDescent="0.35">
      <c r="A50" s="142" t="s">
        <v>324</v>
      </c>
      <c r="B50" s="35" t="s">
        <v>325</v>
      </c>
      <c r="C50" s="163"/>
      <c r="D50" s="248">
        <f>D46+D48</f>
        <v>1711.5</v>
      </c>
      <c r="E50" s="249"/>
      <c r="F50" s="248">
        <f>F46+F48</f>
        <v>-4958.5</v>
      </c>
      <c r="G50" s="249"/>
      <c r="H50" s="248">
        <f>H46+H48</f>
        <v>16095</v>
      </c>
      <c r="I50" s="249"/>
      <c r="J50" s="248">
        <f>J46+J48</f>
        <v>7682.16</v>
      </c>
      <c r="K50" s="249"/>
      <c r="L50" s="250">
        <f>L46+L48</f>
        <v>7920.5</v>
      </c>
      <c r="N50" s="152"/>
      <c r="O50" s="152"/>
      <c r="P50" s="152"/>
      <c r="Q50" s="152"/>
      <c r="R50" s="152"/>
      <c r="S50" s="152"/>
      <c r="T50" s="152"/>
    </row>
    <row r="51" spans="1:20" ht="15.5" x14ac:dyDescent="0.35">
      <c r="A51" s="142"/>
      <c r="B51" s="173" t="s">
        <v>326</v>
      </c>
      <c r="C51" s="163"/>
      <c r="D51" s="249"/>
      <c r="E51" s="249"/>
      <c r="F51" s="249"/>
      <c r="G51" s="249"/>
      <c r="H51" s="249"/>
      <c r="I51" s="249"/>
      <c r="J51" s="249"/>
      <c r="K51" s="249"/>
      <c r="L51" s="269" t="s">
        <v>327</v>
      </c>
      <c r="N51" s="152"/>
      <c r="O51" s="152"/>
      <c r="P51" s="152"/>
      <c r="Q51" s="152"/>
      <c r="R51" s="152"/>
      <c r="S51" s="152"/>
      <c r="T51" s="152"/>
    </row>
    <row r="52" spans="1:20" ht="15.5" x14ac:dyDescent="0.35">
      <c r="A52" s="142" t="s">
        <v>328</v>
      </c>
      <c r="B52" s="35" t="s">
        <v>329</v>
      </c>
      <c r="C52" s="163"/>
      <c r="D52" s="251">
        <v>1000</v>
      </c>
      <c r="E52" s="252"/>
      <c r="F52" s="248">
        <f>D52</f>
        <v>1000</v>
      </c>
      <c r="G52" s="249"/>
      <c r="H52" s="248">
        <f>F52</f>
        <v>1000</v>
      </c>
      <c r="I52" s="249"/>
      <c r="J52" s="248">
        <f>H52</f>
        <v>1000</v>
      </c>
      <c r="K52" s="249"/>
      <c r="L52" s="270"/>
      <c r="N52" s="152"/>
      <c r="O52" s="152"/>
      <c r="P52" s="152"/>
      <c r="Q52" s="152"/>
      <c r="R52" s="152"/>
      <c r="S52" s="152"/>
      <c r="T52" s="152"/>
    </row>
    <row r="53" spans="1:20" ht="15" customHeight="1" x14ac:dyDescent="0.35">
      <c r="A53" s="142"/>
      <c r="B53" s="162"/>
      <c r="C53" s="163"/>
      <c r="D53" s="249"/>
      <c r="E53" s="249"/>
      <c r="F53" s="249"/>
      <c r="G53" s="249"/>
      <c r="H53" s="249"/>
      <c r="I53" s="249"/>
      <c r="J53" s="249"/>
      <c r="K53" s="249"/>
      <c r="L53" s="270"/>
      <c r="N53" s="152"/>
      <c r="O53" s="152"/>
      <c r="P53" s="152"/>
      <c r="Q53" s="152"/>
      <c r="R53" s="152"/>
      <c r="S53" s="152"/>
      <c r="T53" s="152"/>
    </row>
    <row r="54" spans="1:20" ht="15.5" x14ac:dyDescent="0.35">
      <c r="A54" s="142" t="s">
        <v>330</v>
      </c>
      <c r="B54" s="35" t="s">
        <v>331</v>
      </c>
      <c r="C54" s="163"/>
      <c r="D54" s="248">
        <f>IF(D50&gt;D52,D50-D52,0)</f>
        <v>711.5</v>
      </c>
      <c r="E54" s="249"/>
      <c r="F54" s="248">
        <f>IF(F50&gt;F52,F50-F52,0)</f>
        <v>0</v>
      </c>
      <c r="G54" s="249"/>
      <c r="H54" s="248">
        <f>IF(H50&gt;H52,H50-H52,0)</f>
        <v>15095</v>
      </c>
      <c r="I54" s="249"/>
      <c r="J54" s="248">
        <f>IF(J50&gt;J52,J50-J52,0)</f>
        <v>6682.16</v>
      </c>
      <c r="K54" s="249"/>
      <c r="L54" s="270"/>
      <c r="N54" s="152"/>
      <c r="O54" s="152"/>
      <c r="P54" s="152"/>
      <c r="Q54" s="152"/>
      <c r="R54" s="152"/>
      <c r="S54" s="152"/>
      <c r="T54" s="152"/>
    </row>
    <row r="55" spans="1:20" ht="15" customHeight="1" x14ac:dyDescent="0.35">
      <c r="A55" s="142"/>
      <c r="B55" s="173" t="s">
        <v>332</v>
      </c>
      <c r="C55" s="163"/>
      <c r="D55" s="249"/>
      <c r="E55" s="249"/>
      <c r="F55" s="249"/>
      <c r="G55" s="249"/>
      <c r="H55" s="249"/>
      <c r="I55" s="249"/>
      <c r="J55" s="249"/>
      <c r="K55" s="249"/>
      <c r="L55" s="270"/>
      <c r="N55" s="152"/>
      <c r="O55" s="152"/>
      <c r="P55" s="152"/>
      <c r="Q55" s="152"/>
      <c r="R55" s="152"/>
      <c r="S55" s="152"/>
      <c r="T55" s="152"/>
    </row>
    <row r="56" spans="1:20" ht="15.75" customHeight="1" x14ac:dyDescent="0.35">
      <c r="A56" s="142" t="s">
        <v>333</v>
      </c>
      <c r="B56" s="35" t="s">
        <v>334</v>
      </c>
      <c r="C56" s="174">
        <v>0.08</v>
      </c>
      <c r="D56" s="248">
        <f>IF(D52&gt;D50,D52-D50,0)</f>
        <v>0</v>
      </c>
      <c r="E56" s="249"/>
      <c r="F56" s="248">
        <f>IF(F52&gt;F50,F52-F50,0)</f>
        <v>5958.5</v>
      </c>
      <c r="G56" s="249"/>
      <c r="H56" s="248">
        <f>IF(H52&gt;H50,H52-H50,0)</f>
        <v>0</v>
      </c>
      <c r="I56" s="249"/>
      <c r="J56" s="248">
        <f>IF(J52&gt;J50,J52-J50,0)</f>
        <v>0</v>
      </c>
      <c r="K56" s="249"/>
      <c r="L56" s="250">
        <f>SUM(D56:J56)</f>
        <v>5958.5</v>
      </c>
      <c r="N56" s="152"/>
      <c r="O56" s="152"/>
      <c r="P56" s="152"/>
      <c r="Q56" s="152"/>
      <c r="R56" s="152"/>
      <c r="S56" s="152"/>
      <c r="T56" s="152"/>
    </row>
    <row r="57" spans="1:20" ht="18" customHeight="1" x14ac:dyDescent="0.35">
      <c r="A57" s="142"/>
      <c r="B57" s="173" t="s">
        <v>335</v>
      </c>
      <c r="C57" s="162"/>
      <c r="D57" s="271"/>
      <c r="E57" s="249"/>
      <c r="F57" s="249"/>
      <c r="G57" s="249"/>
      <c r="H57" s="249"/>
      <c r="I57" s="249"/>
      <c r="J57" s="249"/>
      <c r="K57" s="249"/>
      <c r="L57" s="272" t="s">
        <v>336</v>
      </c>
      <c r="N57" s="152"/>
      <c r="O57" s="152"/>
      <c r="P57" s="152"/>
      <c r="Q57" s="152"/>
      <c r="R57" s="152"/>
      <c r="S57" s="152"/>
      <c r="T57" s="152"/>
    </row>
    <row r="58" spans="1:20" ht="15.5" x14ac:dyDescent="0.35">
      <c r="A58" s="142" t="s">
        <v>337</v>
      </c>
      <c r="B58" s="35" t="s">
        <v>338</v>
      </c>
      <c r="C58" s="280">
        <v>0</v>
      </c>
      <c r="D58" s="273">
        <f>C58+D56</f>
        <v>0</v>
      </c>
      <c r="E58" s="249"/>
      <c r="F58" s="248">
        <f>D58-D66+F56</f>
        <v>5958.5</v>
      </c>
      <c r="G58" s="249"/>
      <c r="H58" s="248">
        <f>F58-F66+H56</f>
        <v>5958.5</v>
      </c>
      <c r="I58" s="249"/>
      <c r="J58" s="248">
        <f>H58-H66+J56</f>
        <v>0</v>
      </c>
      <c r="K58" s="249"/>
      <c r="L58" s="274">
        <f>J58-J66</f>
        <v>0</v>
      </c>
      <c r="N58" s="152"/>
      <c r="O58" s="152"/>
      <c r="P58" s="152"/>
      <c r="Q58" s="152"/>
      <c r="R58" s="152"/>
      <c r="S58" s="152"/>
      <c r="T58" s="152"/>
    </row>
    <row r="59" spans="1:20" ht="23.25" customHeight="1" x14ac:dyDescent="0.35">
      <c r="A59" s="142"/>
      <c r="B59" s="364" t="s">
        <v>339</v>
      </c>
      <c r="C59" s="365"/>
      <c r="D59" s="275"/>
      <c r="E59" s="249"/>
      <c r="F59" s="249"/>
      <c r="G59" s="249"/>
      <c r="H59" s="249"/>
      <c r="I59" s="249"/>
      <c r="J59" s="249"/>
      <c r="K59" s="249"/>
      <c r="L59" s="272" t="s">
        <v>340</v>
      </c>
      <c r="N59" s="152"/>
      <c r="O59" s="152"/>
      <c r="P59" s="152"/>
      <c r="Q59" s="152"/>
      <c r="R59" s="152"/>
      <c r="S59" s="152"/>
      <c r="T59" s="152"/>
    </row>
    <row r="60" spans="1:20" ht="15.5" x14ac:dyDescent="0.35">
      <c r="A60" s="142" t="s">
        <v>341</v>
      </c>
      <c r="B60" s="35" t="s">
        <v>342</v>
      </c>
      <c r="C60" s="280">
        <v>0</v>
      </c>
      <c r="D60" s="276">
        <f>D58*$C$56/4+C60</f>
        <v>0</v>
      </c>
      <c r="E60" s="277"/>
      <c r="F60" s="278">
        <f>F58*$C$56/4+D60-D62</f>
        <v>119.17</v>
      </c>
      <c r="G60" s="277"/>
      <c r="H60" s="278">
        <f>H58*$C$56/4+F60-F62</f>
        <v>238.34</v>
      </c>
      <c r="I60" s="277"/>
      <c r="J60" s="278">
        <f>J58*$C$56/4+H60-H62</f>
        <v>0</v>
      </c>
      <c r="K60" s="277"/>
      <c r="L60" s="274">
        <f>J60-J62</f>
        <v>0</v>
      </c>
      <c r="N60" s="152"/>
      <c r="O60" s="152"/>
      <c r="P60" s="152"/>
      <c r="Q60" s="152"/>
      <c r="R60" s="152"/>
      <c r="S60" s="152"/>
      <c r="T60" s="152"/>
    </row>
    <row r="61" spans="1:20" ht="22.5" customHeight="1" x14ac:dyDescent="0.35">
      <c r="A61" s="142"/>
      <c r="B61" s="40" t="s">
        <v>343</v>
      </c>
      <c r="C61" s="162"/>
      <c r="D61" s="275"/>
      <c r="E61" s="249"/>
      <c r="F61" s="249"/>
      <c r="G61" s="249"/>
      <c r="H61" s="249"/>
      <c r="I61" s="249"/>
      <c r="J61" s="249"/>
      <c r="K61" s="249"/>
      <c r="L61" s="272" t="s">
        <v>344</v>
      </c>
      <c r="N61" s="152"/>
      <c r="O61" s="152"/>
      <c r="P61" s="152"/>
      <c r="Q61" s="152"/>
      <c r="R61" s="152"/>
      <c r="S61" s="152"/>
      <c r="T61" s="152"/>
    </row>
    <row r="62" spans="1:20" ht="15.5" x14ac:dyDescent="0.35">
      <c r="A62" s="142" t="s">
        <v>345</v>
      </c>
      <c r="B62" s="35" t="s">
        <v>346</v>
      </c>
      <c r="C62" s="175"/>
      <c r="D62" s="248">
        <f>IF(D54&gt;D60,D60,D54)</f>
        <v>0</v>
      </c>
      <c r="E62" s="249"/>
      <c r="F62" s="248">
        <f>IF(F54&gt;F60,F60,F54)</f>
        <v>0</v>
      </c>
      <c r="G62" s="249"/>
      <c r="H62" s="248">
        <f>IF(H54&gt;H60,H60,H54)</f>
        <v>238.34</v>
      </c>
      <c r="I62" s="249"/>
      <c r="J62" s="248">
        <f>IF(J54&gt;J60,J60,J54)</f>
        <v>0</v>
      </c>
      <c r="K62" s="249"/>
      <c r="L62" s="250">
        <f>SUM(D62:J62)</f>
        <v>238.34</v>
      </c>
      <c r="N62" s="152"/>
      <c r="O62" s="152"/>
      <c r="P62" s="152"/>
      <c r="Q62" s="152"/>
      <c r="R62" s="152"/>
      <c r="S62" s="152"/>
      <c r="T62" s="152"/>
    </row>
    <row r="63" spans="1:20" ht="15" customHeight="1" x14ac:dyDescent="0.35">
      <c r="A63" s="142"/>
      <c r="B63" s="173" t="s">
        <v>347</v>
      </c>
      <c r="C63" s="176"/>
      <c r="D63" s="249"/>
      <c r="E63" s="249"/>
      <c r="F63" s="249"/>
      <c r="G63" s="249"/>
      <c r="H63" s="249"/>
      <c r="I63" s="249"/>
      <c r="J63" s="249"/>
      <c r="K63" s="249"/>
      <c r="L63" s="272" t="s">
        <v>348</v>
      </c>
      <c r="N63" s="152"/>
      <c r="O63" s="152"/>
      <c r="P63" s="152"/>
      <c r="Q63" s="152"/>
      <c r="R63" s="152"/>
      <c r="S63" s="152"/>
      <c r="T63" s="152"/>
    </row>
    <row r="64" spans="1:20" ht="15.5" x14ac:dyDescent="0.35">
      <c r="A64" s="142" t="s">
        <v>349</v>
      </c>
      <c r="B64" s="35" t="s">
        <v>350</v>
      </c>
      <c r="C64" s="163"/>
      <c r="D64" s="248">
        <f>D54-D62</f>
        <v>711.5</v>
      </c>
      <c r="E64" s="252"/>
      <c r="F64" s="248">
        <f>F54-F62</f>
        <v>0</v>
      </c>
      <c r="G64" s="252"/>
      <c r="H64" s="248">
        <f>H54-H62</f>
        <v>14856.66</v>
      </c>
      <c r="I64" s="252"/>
      <c r="J64" s="248">
        <f>J54-J62</f>
        <v>6682.16</v>
      </c>
      <c r="K64" s="277"/>
      <c r="L64" s="279"/>
      <c r="N64" s="152"/>
      <c r="O64" s="152"/>
      <c r="P64" s="152"/>
      <c r="Q64" s="152"/>
      <c r="R64" s="152"/>
      <c r="S64" s="152"/>
      <c r="T64" s="152"/>
    </row>
    <row r="65" spans="1:12" ht="15" customHeight="1" x14ac:dyDescent="0.35">
      <c r="A65" s="142"/>
      <c r="B65" s="173" t="s">
        <v>351</v>
      </c>
      <c r="C65" s="163"/>
      <c r="D65" s="249"/>
      <c r="E65" s="249"/>
      <c r="F65" s="249"/>
      <c r="G65" s="249"/>
      <c r="H65" s="249"/>
      <c r="I65" s="249"/>
      <c r="J65" s="249"/>
      <c r="K65" s="249"/>
      <c r="L65" s="270"/>
    </row>
    <row r="66" spans="1:12" ht="15.5" x14ac:dyDescent="0.35">
      <c r="A66" s="142" t="s">
        <v>352</v>
      </c>
      <c r="B66" s="35" t="s">
        <v>353</v>
      </c>
      <c r="C66" s="163"/>
      <c r="D66" s="248">
        <f>IF(D64&gt;D58,D58,D64)</f>
        <v>0</v>
      </c>
      <c r="E66" s="249"/>
      <c r="F66" s="248">
        <f>IF(F64&gt;F58,F58,F64)</f>
        <v>0</v>
      </c>
      <c r="G66" s="249"/>
      <c r="H66" s="248">
        <f>IF(H64&gt;H58,H58,H64)</f>
        <v>5958.5</v>
      </c>
      <c r="I66" s="249"/>
      <c r="J66" s="248">
        <f>IF(J64&gt;J58,J58,J64)</f>
        <v>0</v>
      </c>
      <c r="K66" s="249"/>
      <c r="L66" s="250">
        <f>SUM(D66:J66)</f>
        <v>5958.5</v>
      </c>
    </row>
    <row r="67" spans="1:12" ht="13" x14ac:dyDescent="0.3">
      <c r="A67" s="142"/>
      <c r="B67" s="173" t="s">
        <v>354</v>
      </c>
      <c r="C67" s="163"/>
      <c r="D67" s="257"/>
      <c r="E67" s="257"/>
      <c r="F67" s="257"/>
      <c r="G67" s="257"/>
      <c r="H67" s="257"/>
      <c r="I67" s="257"/>
      <c r="J67" s="257"/>
      <c r="K67" s="257"/>
      <c r="L67" s="272" t="s">
        <v>355</v>
      </c>
    </row>
    <row r="68" spans="1:12" ht="15.5" x14ac:dyDescent="0.35">
      <c r="A68" s="142" t="s">
        <v>356</v>
      </c>
      <c r="B68" s="35" t="s">
        <v>357</v>
      </c>
      <c r="C68" s="175"/>
      <c r="D68" s="248">
        <f>D50+D56-D62-D66</f>
        <v>1711.5</v>
      </c>
      <c r="E68" s="249"/>
      <c r="F68" s="248">
        <f>F50+F56-F62-F66</f>
        <v>1000</v>
      </c>
      <c r="G68" s="249"/>
      <c r="H68" s="248">
        <f>H50+H56-H62-H66</f>
        <v>9898.16</v>
      </c>
      <c r="I68" s="249"/>
      <c r="J68" s="248">
        <f>J50+J56-J62-J66</f>
        <v>7682.16</v>
      </c>
      <c r="K68" s="249"/>
      <c r="L68" s="250">
        <f>L50+L56-L62-L66</f>
        <v>7682.16</v>
      </c>
    </row>
    <row r="69" spans="1:12" ht="13" thickBot="1" x14ac:dyDescent="0.3">
      <c r="A69" s="177"/>
      <c r="B69" s="178" t="s">
        <v>358</v>
      </c>
      <c r="C69" s="179"/>
      <c r="D69" s="180"/>
      <c r="E69" s="180"/>
      <c r="F69" s="180"/>
      <c r="G69" s="180"/>
      <c r="H69" s="180"/>
      <c r="I69" s="180"/>
      <c r="J69" s="180"/>
      <c r="K69" s="180"/>
      <c r="L69" s="181" t="s">
        <v>359</v>
      </c>
    </row>
  </sheetData>
  <mergeCells count="3">
    <mergeCell ref="A1:L1"/>
    <mergeCell ref="A3:B3"/>
    <mergeCell ref="B59:C59"/>
  </mergeCells>
  <printOptions horizontalCentered="1"/>
  <pageMargins left="0.75" right="0.75" top="0.75" bottom="0.75" header="0" footer="0"/>
  <pageSetup scale="51" orientation="portrait" horizontalDpi="4294967293" vertic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AJ36"/>
  <sheetViews>
    <sheetView showGridLines="0" zoomScaleNormal="100" workbookViewId="0">
      <selection activeCell="AX6" sqref="AX6"/>
    </sheetView>
  </sheetViews>
  <sheetFormatPr defaultColWidth="9.1796875" defaultRowHeight="15.5" x14ac:dyDescent="0.35"/>
  <cols>
    <col min="1" max="1" width="3.26953125" style="2" customWidth="1"/>
    <col min="2" max="2" width="21.7265625" style="5" customWidth="1"/>
    <col min="3" max="3" width="34.453125" style="5" customWidth="1"/>
    <col min="4" max="4" width="10.453125" style="5" customWidth="1"/>
    <col min="5" max="5" width="9.81640625" style="6" customWidth="1"/>
    <col min="6" max="6" width="10.453125" style="5" customWidth="1"/>
    <col min="7" max="7" width="10.54296875" style="87" customWidth="1"/>
    <col min="8" max="12" width="0" style="5" hidden="1" customWidth="1"/>
    <col min="13" max="13" width="23.7265625" style="5" hidden="1" customWidth="1"/>
    <col min="14" max="48" width="0" style="5" hidden="1" customWidth="1"/>
    <col min="49" max="16384" width="9.1796875" style="5"/>
  </cols>
  <sheetData>
    <row r="1" spans="1:36" ht="26" x14ac:dyDescent="0.6">
      <c r="A1" s="453" t="s">
        <v>203</v>
      </c>
      <c r="B1" s="453"/>
      <c r="C1" s="453"/>
      <c r="D1" s="453"/>
      <c r="E1" s="453"/>
      <c r="F1" s="453"/>
      <c r="G1" s="453"/>
    </row>
    <row r="2" spans="1:36" ht="5.25" customHeight="1" x14ac:dyDescent="0.35"/>
    <row r="3" spans="1:36" ht="50.25" customHeight="1" x14ac:dyDescent="0.35">
      <c r="A3" s="454" t="s">
        <v>257</v>
      </c>
      <c r="B3" s="454"/>
      <c r="C3" s="454"/>
      <c r="D3" s="454"/>
      <c r="E3" s="454"/>
      <c r="F3" s="454"/>
      <c r="G3" s="110"/>
    </row>
    <row r="4" spans="1:36" ht="9.75" customHeight="1" x14ac:dyDescent="0.35"/>
    <row r="5" spans="1:36" ht="18" customHeight="1" x14ac:dyDescent="0.35">
      <c r="A5" s="82" t="s">
        <v>204</v>
      </c>
      <c r="B5" s="83"/>
      <c r="C5" s="132">
        <v>25</v>
      </c>
      <c r="D5" s="111"/>
      <c r="E5" s="103"/>
      <c r="F5" s="83"/>
      <c r="M5" s="5" t="s">
        <v>205</v>
      </c>
    </row>
    <row r="6" spans="1:36" ht="21.75" customHeight="1" x14ac:dyDescent="0.35">
      <c r="A6" s="82" t="s">
        <v>216</v>
      </c>
      <c r="B6" s="83"/>
      <c r="C6" s="129" t="s">
        <v>208</v>
      </c>
      <c r="D6" s="111"/>
      <c r="E6" s="103"/>
      <c r="F6" s="83"/>
      <c r="M6" s="5" t="s">
        <v>206</v>
      </c>
    </row>
    <row r="7" spans="1:36" ht="6.75" customHeight="1" x14ac:dyDescent="0.35">
      <c r="A7" s="92"/>
      <c r="B7" s="93"/>
      <c r="C7" s="94"/>
      <c r="D7" s="94"/>
      <c r="E7" s="102"/>
      <c r="F7" s="93"/>
      <c r="M7" s="5" t="s">
        <v>207</v>
      </c>
    </row>
    <row r="8" spans="1:36" ht="29.25" customHeight="1" x14ac:dyDescent="0.35">
      <c r="A8" s="84" t="s">
        <v>258</v>
      </c>
      <c r="B8" s="85"/>
      <c r="C8" s="100" t="str">
        <f ca="1">"Lifecycle "&amp;ROUND(YEAR(TODAY())+65-C5-10,-1)&amp;" Fund to Lifecycle "&amp;ROUND(YEAR(TODAY())+65-C5+10,-1)&amp;" Fund"</f>
        <v>Lifecycle 2050 Fund to Lifecycle 2070 Fund</v>
      </c>
      <c r="D8" s="100"/>
      <c r="E8" s="103"/>
      <c r="F8" s="83"/>
      <c r="G8" s="95"/>
      <c r="M8" s="5" t="s">
        <v>208</v>
      </c>
    </row>
    <row r="9" spans="1:36" ht="6.75" customHeight="1" x14ac:dyDescent="0.35">
      <c r="A9" s="92"/>
      <c r="B9" s="93"/>
      <c r="C9" s="93"/>
      <c r="D9" s="93"/>
      <c r="E9" s="102"/>
      <c r="F9" s="93"/>
      <c r="M9" s="5" t="s">
        <v>209</v>
      </c>
    </row>
    <row r="10" spans="1:36" ht="31.5" customHeight="1" x14ac:dyDescent="0.35">
      <c r="A10" s="84" t="s">
        <v>259</v>
      </c>
      <c r="B10" s="87"/>
      <c r="C10" s="87"/>
      <c r="D10" s="87"/>
      <c r="E10" s="99" t="s">
        <v>236</v>
      </c>
      <c r="F10" s="99" t="s">
        <v>237</v>
      </c>
      <c r="M10" s="5" t="s">
        <v>210</v>
      </c>
      <c r="U10" s="5">
        <f>(30)*0.65-15</f>
        <v>4.5</v>
      </c>
    </row>
    <row r="11" spans="1:36" ht="20.149999999999999" customHeight="1" x14ac:dyDescent="0.35">
      <c r="A11" s="86"/>
      <c r="B11" s="87" t="s">
        <v>238</v>
      </c>
      <c r="C11" s="87"/>
      <c r="D11" s="87"/>
      <c r="E11" s="89" t="str">
        <f>(IF(VLOOKUP($C$6,$M$13:$T$19,5,FALSE)-15&lt;0,0,VLOOKUP($C$6,$M$13:$T$19,5,FALSE)-15))&amp;"-"&amp;(IF(VLOOKUP($C$6,$M$13:$T$19,6,FALSE)-15&lt;0,5,VLOOKUP($C$6,$M$13:$T$19,6,FALSE)-15))&amp;"%"</f>
        <v>55-65%</v>
      </c>
      <c r="F11" s="130"/>
      <c r="M11" s="5" t="s">
        <v>211</v>
      </c>
    </row>
    <row r="12" spans="1:36" ht="20.149999999999999" customHeight="1" x14ac:dyDescent="0.35">
      <c r="A12" s="86"/>
      <c r="B12" s="87" t="s">
        <v>234</v>
      </c>
      <c r="C12" s="87"/>
      <c r="D12" s="87"/>
      <c r="E12" s="89" t="str">
        <f>(IF(VLOOKUP($C$6,$M$13:$T$19,8,FALSE)-15&lt;0,0,VLOOKUP($C$6,$M$13:$T$19,8,FALSE)-15))&amp;"-"&amp;(IF(VLOOKUP($C$6,$M$13:$T$19,7,FALSE)-15&lt;0,5,VLOOKUP($C$6,$M$13:$T$19,7,FALSE)-15))&amp;"%"</f>
        <v>5-15%</v>
      </c>
      <c r="F12" s="131"/>
      <c r="O12" s="5" t="s">
        <v>221</v>
      </c>
      <c r="P12" s="5" t="s">
        <v>222</v>
      </c>
      <c r="Q12" s="5" t="s">
        <v>224</v>
      </c>
      <c r="R12" s="5" t="s">
        <v>225</v>
      </c>
      <c r="S12" s="5" t="s">
        <v>226</v>
      </c>
      <c r="T12" s="5" t="s">
        <v>227</v>
      </c>
      <c r="U12" s="5" t="s">
        <v>243</v>
      </c>
      <c r="V12" s="5" t="s">
        <v>244</v>
      </c>
      <c r="W12" s="5" t="s">
        <v>245</v>
      </c>
      <c r="X12" s="5" t="s">
        <v>246</v>
      </c>
      <c r="Y12" s="5" t="s">
        <v>242</v>
      </c>
      <c r="Z12" s="5" t="s">
        <v>247</v>
      </c>
      <c r="AA12" s="5" t="s">
        <v>251</v>
      </c>
      <c r="AB12" s="5" t="s">
        <v>252</v>
      </c>
      <c r="AC12" s="5" t="s">
        <v>253</v>
      </c>
      <c r="AD12" s="5" t="s">
        <v>254</v>
      </c>
      <c r="AE12" s="5" t="s">
        <v>255</v>
      </c>
      <c r="AF12" s="5" t="s">
        <v>256</v>
      </c>
    </row>
    <row r="13" spans="1:36" ht="20.149999999999999" customHeight="1" x14ac:dyDescent="0.35">
      <c r="A13" s="86"/>
      <c r="B13" s="87" t="s">
        <v>239</v>
      </c>
      <c r="C13" s="87"/>
      <c r="D13" s="87"/>
      <c r="E13" s="90" t="s">
        <v>235</v>
      </c>
      <c r="F13" s="131"/>
      <c r="M13" s="5" t="s">
        <v>205</v>
      </c>
      <c r="N13" s="5">
        <v>1</v>
      </c>
      <c r="O13" s="5" t="str">
        <f t="shared" ref="O13:O19" si="0">Q13&amp;"-"&amp;R13&amp;"%"</f>
        <v>55-65%</v>
      </c>
      <c r="P13" s="77" t="str">
        <f t="shared" ref="P13:P19" si="1">T13&amp;"-"&amp;S13&amp;"%"</f>
        <v>35-45%</v>
      </c>
      <c r="Q13" s="5">
        <f>(80-$C$5)</f>
        <v>55</v>
      </c>
      <c r="R13" s="5">
        <f>(90-$C$5)</f>
        <v>65</v>
      </c>
      <c r="S13" s="5">
        <f t="shared" ref="S13:T19" si="2">100-Q13</f>
        <v>45</v>
      </c>
      <c r="T13" s="5">
        <f t="shared" si="2"/>
        <v>35</v>
      </c>
      <c r="U13" s="5">
        <f t="shared" ref="U13:U19" si="3">ROUND(AG13%*AVERAGE(Q13:R13)*85%,-1)</f>
        <v>30</v>
      </c>
      <c r="V13" s="5">
        <f t="shared" ref="V13:V19" si="4">U13+10</f>
        <v>40</v>
      </c>
      <c r="W13" s="5">
        <f t="shared" ref="W13:W19" si="5">Q13-U13</f>
        <v>25</v>
      </c>
      <c r="X13" s="5">
        <f t="shared" ref="X13:X19" si="6">W13+10</f>
        <v>35</v>
      </c>
      <c r="Y13" s="5" t="str">
        <f t="shared" ref="Y13:Y19" si="7">U13&amp;"-"&amp;V13&amp;"%"</f>
        <v>30-40%</v>
      </c>
      <c r="Z13" s="5" t="str">
        <f t="shared" ref="Z13:Z19" si="8">W13&amp;"-"&amp;X13&amp;"%"</f>
        <v>25-35%</v>
      </c>
      <c r="AA13" s="5">
        <f t="shared" ref="AA13:AA19" si="9">ROUND(AI13%*AVERAGE(S13:T13)*85%,-1)</f>
        <v>20</v>
      </c>
      <c r="AB13" s="5">
        <f t="shared" ref="AB13:AB19" si="10">AA13+10</f>
        <v>30</v>
      </c>
      <c r="AC13" s="5">
        <f t="shared" ref="AC13:AC19" si="11">T13-AA13</f>
        <v>15</v>
      </c>
      <c r="AD13" s="5">
        <f t="shared" ref="AD13:AD19" si="12">AC13+10</f>
        <v>25</v>
      </c>
      <c r="AE13" s="5" t="str">
        <f t="shared" ref="AE13:AE19" si="13">AA13&amp;"-"&amp;AB13&amp;"%"</f>
        <v>20-30%</v>
      </c>
      <c r="AF13" s="5" t="str">
        <f t="shared" ref="AF13:AF19" si="14">AC13&amp;"-"&amp;AD13&amp;"%"</f>
        <v>15-25%</v>
      </c>
      <c r="AG13" s="5">
        <v>60</v>
      </c>
      <c r="AH13" s="5">
        <v>75</v>
      </c>
      <c r="AI13" s="5">
        <v>60</v>
      </c>
      <c r="AJ13" s="5">
        <v>75</v>
      </c>
    </row>
    <row r="14" spans="1:36" ht="20.149999999999999" customHeight="1" x14ac:dyDescent="0.35">
      <c r="A14" s="86"/>
      <c r="B14" s="88" t="s">
        <v>240</v>
      </c>
      <c r="C14" s="88"/>
      <c r="D14" s="88"/>
      <c r="E14" s="91" t="s">
        <v>229</v>
      </c>
      <c r="F14" s="131"/>
      <c r="M14" s="5" t="s">
        <v>206</v>
      </c>
      <c r="N14" s="5">
        <v>2</v>
      </c>
      <c r="O14" s="5" t="str">
        <f t="shared" si="0"/>
        <v>60-70%</v>
      </c>
      <c r="P14" s="77" t="str">
        <f t="shared" si="1"/>
        <v>30-40%</v>
      </c>
      <c r="Q14" s="5">
        <f>(85-$C$5)</f>
        <v>60</v>
      </c>
      <c r="R14" s="5">
        <f>(95-$C$5)</f>
        <v>70</v>
      </c>
      <c r="S14" s="5">
        <f t="shared" si="2"/>
        <v>40</v>
      </c>
      <c r="T14" s="5">
        <f t="shared" si="2"/>
        <v>30</v>
      </c>
      <c r="U14" s="5">
        <f t="shared" si="3"/>
        <v>30</v>
      </c>
      <c r="V14" s="5">
        <f t="shared" si="4"/>
        <v>40</v>
      </c>
      <c r="W14" s="5">
        <f t="shared" si="5"/>
        <v>30</v>
      </c>
      <c r="X14" s="5">
        <f t="shared" si="6"/>
        <v>40</v>
      </c>
      <c r="Y14" s="5" t="str">
        <f t="shared" si="7"/>
        <v>30-40%</v>
      </c>
      <c r="Z14" s="5" t="str">
        <f t="shared" si="8"/>
        <v>30-40%</v>
      </c>
      <c r="AA14" s="5">
        <f t="shared" si="9"/>
        <v>20</v>
      </c>
      <c r="AB14" s="5">
        <f t="shared" si="10"/>
        <v>30</v>
      </c>
      <c r="AC14" s="5">
        <f t="shared" si="11"/>
        <v>10</v>
      </c>
      <c r="AD14" s="5">
        <f t="shared" si="12"/>
        <v>20</v>
      </c>
      <c r="AE14" s="5" t="str">
        <f t="shared" si="13"/>
        <v>20-30%</v>
      </c>
      <c r="AF14" s="5" t="str">
        <f t="shared" si="14"/>
        <v>10-20%</v>
      </c>
      <c r="AG14" s="5">
        <v>55</v>
      </c>
      <c r="AH14" s="5">
        <v>70</v>
      </c>
      <c r="AI14" s="5">
        <v>55</v>
      </c>
      <c r="AJ14" s="5">
        <v>70</v>
      </c>
    </row>
    <row r="15" spans="1:36" ht="20.149999999999999" customHeight="1" x14ac:dyDescent="0.35">
      <c r="A15" s="86"/>
      <c r="B15" s="96" t="s">
        <v>202</v>
      </c>
      <c r="C15" s="96"/>
      <c r="D15" s="96"/>
      <c r="E15" s="97">
        <v>1</v>
      </c>
      <c r="F15" s="98">
        <f>SUM(F11:F14)</f>
        <v>0</v>
      </c>
      <c r="M15" s="5" t="s">
        <v>207</v>
      </c>
      <c r="N15" s="5">
        <v>3</v>
      </c>
      <c r="O15" s="5" t="str">
        <f t="shared" si="0"/>
        <v>65-75%</v>
      </c>
      <c r="P15" s="77" t="str">
        <f t="shared" si="1"/>
        <v>25-35%</v>
      </c>
      <c r="Q15" s="5">
        <f>(90-$C$5)</f>
        <v>65</v>
      </c>
      <c r="R15" s="5">
        <f>(100-$C$5)</f>
        <v>75</v>
      </c>
      <c r="S15" s="5">
        <f t="shared" si="2"/>
        <v>35</v>
      </c>
      <c r="T15" s="5">
        <f t="shared" si="2"/>
        <v>25</v>
      </c>
      <c r="U15" s="5">
        <f t="shared" si="3"/>
        <v>30</v>
      </c>
      <c r="V15" s="5">
        <f t="shared" si="4"/>
        <v>40</v>
      </c>
      <c r="W15" s="5">
        <f t="shared" si="5"/>
        <v>35</v>
      </c>
      <c r="X15" s="5">
        <f t="shared" si="6"/>
        <v>45</v>
      </c>
      <c r="Y15" s="5" t="str">
        <f t="shared" si="7"/>
        <v>30-40%</v>
      </c>
      <c r="Z15" s="5" t="str">
        <f t="shared" si="8"/>
        <v>35-45%</v>
      </c>
      <c r="AA15" s="5">
        <f t="shared" si="9"/>
        <v>10</v>
      </c>
      <c r="AB15" s="5">
        <f t="shared" si="10"/>
        <v>20</v>
      </c>
      <c r="AC15" s="5">
        <f t="shared" si="11"/>
        <v>15</v>
      </c>
      <c r="AD15" s="5">
        <f t="shared" si="12"/>
        <v>25</v>
      </c>
      <c r="AE15" s="5" t="str">
        <f t="shared" si="13"/>
        <v>10-20%</v>
      </c>
      <c r="AF15" s="5" t="str">
        <f t="shared" si="14"/>
        <v>15-25%</v>
      </c>
      <c r="AG15" s="5">
        <v>50</v>
      </c>
      <c r="AH15" s="5">
        <v>65</v>
      </c>
      <c r="AI15" s="5">
        <v>50</v>
      </c>
      <c r="AJ15" s="5">
        <v>65</v>
      </c>
    </row>
    <row r="16" spans="1:36" ht="6.75" customHeight="1" x14ac:dyDescent="0.35">
      <c r="A16" s="92"/>
      <c r="B16" s="93"/>
      <c r="C16" s="93"/>
      <c r="D16" s="93"/>
      <c r="E16" s="102"/>
      <c r="F16" s="93"/>
      <c r="M16" s="5" t="s">
        <v>208</v>
      </c>
      <c r="N16" s="5">
        <v>4</v>
      </c>
      <c r="O16" s="5" t="str">
        <f t="shared" si="0"/>
        <v>70-80%</v>
      </c>
      <c r="P16" s="77" t="str">
        <f t="shared" si="1"/>
        <v>20-30%</v>
      </c>
      <c r="Q16" s="5">
        <f>(95-$C$5)</f>
        <v>70</v>
      </c>
      <c r="R16" s="5">
        <f>(105-$C$5)</f>
        <v>80</v>
      </c>
      <c r="S16" s="5">
        <f t="shared" si="2"/>
        <v>30</v>
      </c>
      <c r="T16" s="5">
        <f t="shared" si="2"/>
        <v>20</v>
      </c>
      <c r="U16" s="5">
        <f t="shared" si="3"/>
        <v>30</v>
      </c>
      <c r="V16" s="5">
        <f t="shared" si="4"/>
        <v>40</v>
      </c>
      <c r="W16" s="5">
        <f t="shared" si="5"/>
        <v>40</v>
      </c>
      <c r="X16" s="5">
        <f t="shared" si="6"/>
        <v>50</v>
      </c>
      <c r="Y16" s="5" t="str">
        <f t="shared" si="7"/>
        <v>30-40%</v>
      </c>
      <c r="Z16" s="5" t="str">
        <f t="shared" si="8"/>
        <v>40-50%</v>
      </c>
      <c r="AA16" s="5">
        <f t="shared" si="9"/>
        <v>10</v>
      </c>
      <c r="AB16" s="5">
        <f t="shared" si="10"/>
        <v>20</v>
      </c>
      <c r="AC16" s="5">
        <f t="shared" si="11"/>
        <v>10</v>
      </c>
      <c r="AD16" s="5">
        <f t="shared" si="12"/>
        <v>20</v>
      </c>
      <c r="AE16" s="5" t="str">
        <f t="shared" si="13"/>
        <v>10-20%</v>
      </c>
      <c r="AF16" s="5" t="str">
        <f t="shared" si="14"/>
        <v>10-20%</v>
      </c>
      <c r="AG16" s="5">
        <v>45</v>
      </c>
      <c r="AH16" s="5">
        <v>60</v>
      </c>
      <c r="AI16" s="5">
        <v>45</v>
      </c>
      <c r="AJ16" s="5">
        <v>60</v>
      </c>
    </row>
    <row r="17" spans="1:36" ht="24.75" customHeight="1" x14ac:dyDescent="0.45">
      <c r="A17" s="3" t="s">
        <v>260</v>
      </c>
      <c r="B17" s="78"/>
      <c r="C17" s="78"/>
      <c r="D17" s="78"/>
      <c r="E17" s="7"/>
      <c r="F17" s="78"/>
      <c r="J17" s="79" t="str">
        <f>VLOOKUP(C6,M13:O19,3,FALSE)</f>
        <v>70-80%</v>
      </c>
      <c r="M17" s="5" t="s">
        <v>209</v>
      </c>
      <c r="N17" s="5">
        <v>5</v>
      </c>
      <c r="O17" s="5" t="str">
        <f t="shared" si="0"/>
        <v>75-85%</v>
      </c>
      <c r="P17" s="77" t="str">
        <f t="shared" si="1"/>
        <v>15-25%</v>
      </c>
      <c r="Q17" s="5">
        <f>(100-$C$5)</f>
        <v>75</v>
      </c>
      <c r="R17" s="5">
        <f>(110-$C$5)</f>
        <v>85</v>
      </c>
      <c r="S17" s="5">
        <f t="shared" si="2"/>
        <v>25</v>
      </c>
      <c r="T17" s="5">
        <f t="shared" si="2"/>
        <v>15</v>
      </c>
      <c r="U17" s="5">
        <f t="shared" si="3"/>
        <v>20</v>
      </c>
      <c r="V17" s="5">
        <f t="shared" si="4"/>
        <v>30</v>
      </c>
      <c r="W17" s="5">
        <f t="shared" si="5"/>
        <v>55</v>
      </c>
      <c r="X17" s="5">
        <f t="shared" si="6"/>
        <v>65</v>
      </c>
      <c r="Y17" s="5" t="str">
        <f t="shared" si="7"/>
        <v>20-30%</v>
      </c>
      <c r="Z17" s="5" t="str">
        <f t="shared" si="8"/>
        <v>55-65%</v>
      </c>
      <c r="AA17" s="5">
        <f t="shared" si="9"/>
        <v>10</v>
      </c>
      <c r="AB17" s="5">
        <f t="shared" si="10"/>
        <v>20</v>
      </c>
      <c r="AC17" s="5">
        <f t="shared" si="11"/>
        <v>5</v>
      </c>
      <c r="AD17" s="5">
        <f t="shared" si="12"/>
        <v>15</v>
      </c>
      <c r="AE17" s="5" t="str">
        <f t="shared" si="13"/>
        <v>10-20%</v>
      </c>
      <c r="AF17" s="5" t="str">
        <f t="shared" si="14"/>
        <v>5-15%</v>
      </c>
      <c r="AG17" s="5">
        <v>35</v>
      </c>
      <c r="AH17" s="5">
        <v>55</v>
      </c>
      <c r="AI17" s="5">
        <v>35</v>
      </c>
      <c r="AJ17" s="5">
        <v>55</v>
      </c>
    </row>
    <row r="18" spans="1:36" ht="32" x14ac:dyDescent="0.45">
      <c r="A18" s="3" t="str">
        <f>"The 'Riskier' Investments (Equities)         ("&amp;J17&amp;")"</f>
        <v>The 'Riskier' Investments (Equities)         (70-80%)</v>
      </c>
      <c r="E18" s="99" t="s">
        <v>236</v>
      </c>
      <c r="F18" s="99" t="s">
        <v>237</v>
      </c>
      <c r="M18" s="5" t="s">
        <v>210</v>
      </c>
      <c r="N18" s="5">
        <v>6</v>
      </c>
      <c r="O18" s="5" t="str">
        <f t="shared" si="0"/>
        <v>80-90%</v>
      </c>
      <c r="P18" s="77" t="str">
        <f t="shared" si="1"/>
        <v>10-20%</v>
      </c>
      <c r="Q18" s="5">
        <f>(105-$C$5)</f>
        <v>80</v>
      </c>
      <c r="R18" s="5">
        <f>(115-$C$5)</f>
        <v>90</v>
      </c>
      <c r="S18" s="5">
        <f t="shared" si="2"/>
        <v>20</v>
      </c>
      <c r="T18" s="5">
        <f t="shared" si="2"/>
        <v>10</v>
      </c>
      <c r="U18" s="5">
        <f t="shared" si="3"/>
        <v>20</v>
      </c>
      <c r="V18" s="5">
        <f t="shared" si="4"/>
        <v>30</v>
      </c>
      <c r="W18" s="5">
        <f t="shared" si="5"/>
        <v>60</v>
      </c>
      <c r="X18" s="5">
        <f t="shared" si="6"/>
        <v>70</v>
      </c>
      <c r="Y18" s="5" t="str">
        <f t="shared" si="7"/>
        <v>20-30%</v>
      </c>
      <c r="Z18" s="5" t="str">
        <f t="shared" si="8"/>
        <v>60-70%</v>
      </c>
      <c r="AA18" s="5">
        <f t="shared" si="9"/>
        <v>0</v>
      </c>
      <c r="AB18" s="5">
        <f t="shared" si="10"/>
        <v>10</v>
      </c>
      <c r="AC18" s="5">
        <f t="shared" si="11"/>
        <v>10</v>
      </c>
      <c r="AD18" s="5">
        <f t="shared" si="12"/>
        <v>20</v>
      </c>
      <c r="AE18" s="5" t="str">
        <f t="shared" si="13"/>
        <v>0-10%</v>
      </c>
      <c r="AF18" s="5" t="str">
        <f t="shared" si="14"/>
        <v>10-20%</v>
      </c>
      <c r="AG18" s="5">
        <v>30</v>
      </c>
      <c r="AH18" s="5">
        <v>45</v>
      </c>
      <c r="AI18" s="5">
        <v>30</v>
      </c>
      <c r="AJ18" s="5">
        <v>45</v>
      </c>
    </row>
    <row r="19" spans="1:36" x14ac:dyDescent="0.35">
      <c r="B19" s="5" t="s">
        <v>241</v>
      </c>
      <c r="E19" s="104" t="s">
        <v>230</v>
      </c>
      <c r="F19" s="130"/>
      <c r="M19" s="5" t="s">
        <v>211</v>
      </c>
      <c r="N19" s="5">
        <v>7</v>
      </c>
      <c r="O19" s="5" t="str">
        <f t="shared" si="0"/>
        <v>90-100%</v>
      </c>
      <c r="P19" s="77" t="str">
        <f t="shared" si="1"/>
        <v>0-10%</v>
      </c>
      <c r="Q19" s="5">
        <f>(115-$C$5)</f>
        <v>90</v>
      </c>
      <c r="R19" s="5">
        <f>IF((125-$C$5)&gt;100,100,(125-$C$5))</f>
        <v>100</v>
      </c>
      <c r="S19" s="5">
        <f t="shared" si="2"/>
        <v>10</v>
      </c>
      <c r="T19" s="5">
        <f t="shared" si="2"/>
        <v>0</v>
      </c>
      <c r="U19" s="5">
        <f t="shared" si="3"/>
        <v>20</v>
      </c>
      <c r="V19" s="5">
        <f t="shared" si="4"/>
        <v>30</v>
      </c>
      <c r="W19" s="5">
        <f t="shared" si="5"/>
        <v>70</v>
      </c>
      <c r="X19" s="5">
        <f t="shared" si="6"/>
        <v>80</v>
      </c>
      <c r="Y19" s="5" t="str">
        <f t="shared" si="7"/>
        <v>20-30%</v>
      </c>
      <c r="Z19" s="5" t="str">
        <f t="shared" si="8"/>
        <v>70-80%</v>
      </c>
      <c r="AA19" s="5">
        <f t="shared" si="9"/>
        <v>0</v>
      </c>
      <c r="AB19" s="5">
        <f t="shared" si="10"/>
        <v>10</v>
      </c>
      <c r="AC19" s="5">
        <f t="shared" si="11"/>
        <v>0</v>
      </c>
      <c r="AD19" s="5">
        <f t="shared" si="12"/>
        <v>10</v>
      </c>
      <c r="AE19" s="5" t="str">
        <f t="shared" si="13"/>
        <v>0-10%</v>
      </c>
      <c r="AF19" s="5" t="str">
        <f t="shared" si="14"/>
        <v>0-10%</v>
      </c>
      <c r="AG19" s="5">
        <v>25</v>
      </c>
      <c r="AH19" s="5">
        <v>35</v>
      </c>
      <c r="AI19" s="5">
        <v>25</v>
      </c>
      <c r="AJ19" s="5">
        <v>35</v>
      </c>
    </row>
    <row r="20" spans="1:36" ht="19" customHeight="1" x14ac:dyDescent="0.35">
      <c r="B20" s="5" t="s">
        <v>212</v>
      </c>
      <c r="E20" s="6" t="str">
        <f>VLOOKUP($C$6,$M$13:$AX$19,13,FALSE)</f>
        <v>30-40%</v>
      </c>
      <c r="F20" s="131"/>
    </row>
    <row r="21" spans="1:36" ht="19" customHeight="1" x14ac:dyDescent="0.35">
      <c r="B21" s="5" t="s">
        <v>248</v>
      </c>
      <c r="E21" s="6" t="str">
        <f>VLOOKUP($C$6,$M$13:$AX$19,14,FALSE)</f>
        <v>40-50%</v>
      </c>
      <c r="F21" s="131"/>
    </row>
    <row r="22" spans="1:36" ht="19" customHeight="1" x14ac:dyDescent="0.35">
      <c r="B22" s="5" t="s">
        <v>213</v>
      </c>
      <c r="E22" s="104" t="s">
        <v>229</v>
      </c>
      <c r="F22" s="131"/>
    </row>
    <row r="23" spans="1:36" ht="19" customHeight="1" x14ac:dyDescent="0.35">
      <c r="B23" s="5" t="s">
        <v>214</v>
      </c>
      <c r="E23" s="104" t="s">
        <v>228</v>
      </c>
      <c r="F23" s="131"/>
    </row>
    <row r="24" spans="1:36" ht="19" customHeight="1" x14ac:dyDescent="0.35">
      <c r="B24" s="5" t="s">
        <v>215</v>
      </c>
      <c r="E24" s="104" t="s">
        <v>229</v>
      </c>
      <c r="F24" s="131"/>
    </row>
    <row r="25" spans="1:36" s="83" customFormat="1" ht="20.25" customHeight="1" x14ac:dyDescent="0.35">
      <c r="A25" s="82"/>
      <c r="B25" s="105" t="s">
        <v>220</v>
      </c>
      <c r="C25" s="82"/>
      <c r="D25" s="82"/>
      <c r="E25" s="106" t="str">
        <f>J17</f>
        <v>70-80%</v>
      </c>
      <c r="F25" s="107">
        <f>SUM(F19:F24)</f>
        <v>0</v>
      </c>
      <c r="G25" s="95"/>
    </row>
    <row r="26" spans="1:36" ht="7.5" customHeight="1" x14ac:dyDescent="0.35">
      <c r="B26" s="2"/>
      <c r="C26" s="2"/>
      <c r="D26" s="2"/>
      <c r="E26" s="4"/>
    </row>
    <row r="27" spans="1:36" ht="31.5" customHeight="1" x14ac:dyDescent="0.45">
      <c r="A27" s="3" t="str">
        <f>"The 'Less Risky' Investments (Fixed)            ("&amp;J27&amp;")"</f>
        <v>The 'Less Risky' Investments (Fixed)            (20-30%)</v>
      </c>
      <c r="B27" s="78"/>
      <c r="C27" s="78"/>
      <c r="D27" s="78"/>
      <c r="E27" s="99" t="s">
        <v>236</v>
      </c>
      <c r="F27" s="99" t="s">
        <v>237</v>
      </c>
      <c r="G27" s="5"/>
      <c r="J27" s="101" t="str">
        <f>VLOOKUP(C6,M13:P19,4,FALSE)</f>
        <v>20-30%</v>
      </c>
    </row>
    <row r="28" spans="1:36" ht="19" customHeight="1" x14ac:dyDescent="0.35">
      <c r="B28" s="5" t="s">
        <v>217</v>
      </c>
      <c r="E28" s="104" t="s">
        <v>232</v>
      </c>
      <c r="F28" s="130"/>
    </row>
    <row r="29" spans="1:36" ht="19" customHeight="1" x14ac:dyDescent="0.35">
      <c r="B29" s="5" t="s">
        <v>218</v>
      </c>
      <c r="E29" s="6" t="str">
        <f>VLOOKUP($C$6,$M$13:$AX$19,19,FALSE)</f>
        <v>10-20%</v>
      </c>
      <c r="F29" s="131"/>
    </row>
    <row r="30" spans="1:36" ht="19" customHeight="1" x14ac:dyDescent="0.35">
      <c r="B30" s="5" t="s">
        <v>249</v>
      </c>
      <c r="E30" s="6" t="str">
        <f>VLOOKUP($C$6,$M$13:$AX$19,20,FALSE)</f>
        <v>10-20%</v>
      </c>
      <c r="F30" s="131"/>
    </row>
    <row r="31" spans="1:36" ht="19" customHeight="1" x14ac:dyDescent="0.35">
      <c r="B31" s="5" t="s">
        <v>201</v>
      </c>
      <c r="E31" s="104" t="s">
        <v>231</v>
      </c>
      <c r="F31" s="131"/>
    </row>
    <row r="32" spans="1:36" ht="19" customHeight="1" x14ac:dyDescent="0.35">
      <c r="B32" s="5" t="s">
        <v>219</v>
      </c>
      <c r="E32" s="104" t="s">
        <v>250</v>
      </c>
      <c r="F32" s="131"/>
    </row>
    <row r="33" spans="2:6" ht="19" customHeight="1" x14ac:dyDescent="0.35">
      <c r="B33" s="80" t="s">
        <v>220</v>
      </c>
      <c r="C33" s="2"/>
      <c r="E33" s="4" t="str">
        <f>J27</f>
        <v>20-30%</v>
      </c>
      <c r="F33" s="108">
        <f>SUM(F28:F32)</f>
        <v>0</v>
      </c>
    </row>
    <row r="34" spans="2:6" ht="8.25" customHeight="1" x14ac:dyDescent="0.35">
      <c r="F34" s="6"/>
    </row>
    <row r="35" spans="2:6" ht="19" customHeight="1" x14ac:dyDescent="0.35">
      <c r="B35" s="2" t="s">
        <v>223</v>
      </c>
      <c r="C35" s="2"/>
      <c r="E35" s="4"/>
      <c r="F35" s="109">
        <f>F25+F33</f>
        <v>0</v>
      </c>
    </row>
    <row r="36" spans="2:6" x14ac:dyDescent="0.35">
      <c r="B36" s="81" t="s">
        <v>233</v>
      </c>
    </row>
  </sheetData>
  <sheetProtection sheet="1" objects="1" scenarios="1"/>
  <sortState ref="M13:AF19">
    <sortCondition ref="N13:N19"/>
  </sortState>
  <mergeCells count="2">
    <mergeCell ref="A1:G1"/>
    <mergeCell ref="A3:F3"/>
  </mergeCells>
  <dataValidations count="1">
    <dataValidation type="list" allowBlank="1" showInputMessage="1" showErrorMessage="1" promptTitle="Risk Attitude for Retirement" prompt="Please chooose the most appropriate risk attitude for your retirement.  This is merely to get you thinking about how comfortable you are taking risks with your retirement investments." sqref="C6:D6" xr:uid="{00000000-0002-0000-0700-000000000000}">
      <formula1>$M$5:$M$11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L73"/>
  <sheetViews>
    <sheetView showGridLines="0" topLeftCell="A2" zoomScale="80" zoomScaleNormal="80" workbookViewId="0">
      <selection activeCell="H76" sqref="H75:H76"/>
    </sheetView>
  </sheetViews>
  <sheetFormatPr defaultColWidth="9.1796875" defaultRowHeight="13" x14ac:dyDescent="0.3"/>
  <cols>
    <col min="1" max="1" width="4.453125" style="189" customWidth="1"/>
    <col min="2" max="2" width="5.81640625" style="189" customWidth="1"/>
    <col min="3" max="3" width="53.26953125" style="189" customWidth="1"/>
    <col min="4" max="4" width="6.1796875" style="189" customWidth="1"/>
    <col min="5" max="5" width="10.81640625" style="189" customWidth="1"/>
    <col min="6" max="6" width="1.26953125" style="189" customWidth="1"/>
    <col min="7" max="7" width="6.1796875" style="189" customWidth="1"/>
    <col min="8" max="8" width="7.54296875" style="189" customWidth="1"/>
    <col min="9" max="9" width="8" style="189" hidden="1" customWidth="1"/>
    <col min="10" max="10" width="6.1796875" style="189" hidden="1" customWidth="1"/>
    <col min="11" max="11" width="11.7265625" style="189" bestFit="1" customWidth="1"/>
    <col min="12" max="12" width="9.7265625" style="189" bestFit="1" customWidth="1"/>
    <col min="13" max="16384" width="9.1796875" style="189"/>
  </cols>
  <sheetData>
    <row r="1" spans="1:11" ht="36" customHeight="1" x14ac:dyDescent="0.3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162"/>
      <c r="K1" s="162"/>
    </row>
    <row r="2" spans="1:11" ht="27" customHeight="1" x14ac:dyDescent="0.3">
      <c r="A2" s="399" t="s">
        <v>46</v>
      </c>
      <c r="B2" s="399"/>
      <c r="C2" s="399"/>
      <c r="D2" s="399"/>
      <c r="E2" s="399"/>
      <c r="F2" s="399"/>
      <c r="G2" s="399"/>
      <c r="H2" s="399"/>
      <c r="I2" s="399"/>
      <c r="J2" s="162"/>
      <c r="K2" s="162"/>
    </row>
    <row r="3" spans="1:11" ht="2.25" customHeight="1" x14ac:dyDescent="0.3">
      <c r="C3" s="190"/>
      <c r="D3" s="190"/>
      <c r="E3" s="190"/>
      <c r="F3" s="190"/>
      <c r="G3" s="190"/>
      <c r="H3" s="190"/>
      <c r="I3" s="190"/>
      <c r="J3" s="162"/>
      <c r="K3" s="162"/>
    </row>
    <row r="4" spans="1:11" ht="15" customHeight="1" thickBot="1" x14ac:dyDescent="0.35">
      <c r="C4" s="32" t="s">
        <v>47</v>
      </c>
      <c r="E4" s="234"/>
      <c r="G4" s="33" t="s">
        <v>0</v>
      </c>
      <c r="H4" s="190"/>
      <c r="I4" s="190"/>
      <c r="J4" s="162"/>
      <c r="K4" s="162"/>
    </row>
    <row r="5" spans="1:11" ht="15" customHeight="1" thickBot="1" x14ac:dyDescent="0.35">
      <c r="C5" s="32" t="s">
        <v>48</v>
      </c>
      <c r="E5" s="235"/>
      <c r="G5" s="33" t="s">
        <v>0</v>
      </c>
      <c r="H5" s="190"/>
      <c r="I5" s="190"/>
      <c r="J5" s="162"/>
      <c r="K5" s="162"/>
    </row>
    <row r="6" spans="1:11" ht="6" customHeight="1" x14ac:dyDescent="0.3">
      <c r="C6" s="32"/>
      <c r="E6" s="191"/>
      <c r="F6" s="33"/>
      <c r="G6" s="190"/>
      <c r="H6" s="190"/>
      <c r="I6" s="190"/>
      <c r="J6" s="162"/>
      <c r="K6" s="162"/>
    </row>
    <row r="7" spans="1:11" ht="15" customHeight="1" thickBot="1" x14ac:dyDescent="0.35">
      <c r="C7" s="32" t="s">
        <v>49</v>
      </c>
      <c r="E7" s="236"/>
      <c r="F7" s="33"/>
      <c r="G7" s="190"/>
      <c r="H7" s="190"/>
      <c r="I7" s="190"/>
      <c r="J7" s="162"/>
      <c r="K7" s="162"/>
    </row>
    <row r="8" spans="1:11" ht="15" customHeight="1" thickBot="1" x14ac:dyDescent="0.35">
      <c r="C8" s="32" t="s">
        <v>50</v>
      </c>
      <c r="E8" s="237"/>
      <c r="F8" s="33"/>
      <c r="G8" s="190"/>
      <c r="H8" s="190"/>
      <c r="I8" s="190"/>
      <c r="J8" s="162"/>
      <c r="K8" s="162"/>
    </row>
    <row r="9" spans="1:11" ht="7.5" customHeight="1" x14ac:dyDescent="0.3">
      <c r="C9" s="32"/>
      <c r="D9" s="33"/>
      <c r="E9" s="192"/>
      <c r="F9" s="190"/>
      <c r="G9" s="190"/>
      <c r="H9" s="190"/>
      <c r="I9" s="190"/>
      <c r="J9" s="162"/>
      <c r="K9" s="162"/>
    </row>
    <row r="10" spans="1:11" ht="15" customHeight="1" thickBot="1" x14ac:dyDescent="0.35">
      <c r="C10" s="32" t="s">
        <v>51</v>
      </c>
      <c r="D10" s="33"/>
      <c r="E10" s="236"/>
      <c r="F10" s="190"/>
      <c r="G10" s="190"/>
      <c r="H10" s="190"/>
      <c r="I10" s="190"/>
      <c r="J10" s="162"/>
      <c r="K10" s="162"/>
    </row>
    <row r="11" spans="1:11" ht="15" customHeight="1" thickBot="1" x14ac:dyDescent="0.35">
      <c r="C11" s="32" t="s">
        <v>52</v>
      </c>
      <c r="D11" s="33"/>
      <c r="E11" s="237"/>
      <c r="F11" s="190"/>
      <c r="G11" s="190"/>
      <c r="H11" s="190"/>
      <c r="I11" s="190"/>
      <c r="J11" s="162"/>
      <c r="K11" s="162"/>
    </row>
    <row r="12" spans="1:11" ht="21.75" customHeight="1" thickBot="1" x14ac:dyDescent="0.35">
      <c r="C12" s="193" t="s">
        <v>53</v>
      </c>
      <c r="E12" s="238"/>
      <c r="J12" s="162"/>
      <c r="K12" s="194"/>
    </row>
    <row r="13" spans="1:11" ht="3" customHeight="1" x14ac:dyDescent="0.3">
      <c r="C13" s="193"/>
      <c r="E13" s="195"/>
      <c r="J13" s="162"/>
      <c r="K13" s="194"/>
    </row>
    <row r="14" spans="1:11" ht="5.25" customHeight="1" x14ac:dyDescent="0.3">
      <c r="A14" s="196"/>
      <c r="B14" s="196"/>
      <c r="C14" s="197"/>
      <c r="D14" s="196"/>
      <c r="E14" s="198"/>
      <c r="F14" s="196"/>
      <c r="G14" s="196"/>
      <c r="H14" s="196"/>
      <c r="J14" s="162"/>
      <c r="K14" s="194"/>
    </row>
    <row r="15" spans="1:11" ht="24" customHeight="1" thickBot="1" x14ac:dyDescent="0.4">
      <c r="A15" s="35" t="s">
        <v>54</v>
      </c>
      <c r="B15" s="36"/>
      <c r="C15" s="36"/>
      <c r="G15" s="396"/>
      <c r="H15" s="396"/>
      <c r="J15" s="397"/>
      <c r="K15" s="397"/>
    </row>
    <row r="16" spans="1:11" ht="24" customHeight="1" x14ac:dyDescent="0.3">
      <c r="A16" s="36"/>
      <c r="B16" s="400" t="s">
        <v>55</v>
      </c>
      <c r="C16" s="400"/>
      <c r="G16" s="37"/>
      <c r="H16" s="37"/>
      <c r="J16" s="162"/>
      <c r="K16" s="39"/>
    </row>
    <row r="17" spans="1:11" ht="3.75" customHeight="1" x14ac:dyDescent="0.3">
      <c r="A17" s="36"/>
      <c r="B17" s="36"/>
      <c r="C17" s="36"/>
      <c r="G17" s="37"/>
      <c r="H17" s="37"/>
      <c r="J17" s="162"/>
      <c r="K17" s="39"/>
    </row>
    <row r="18" spans="1:11" ht="16" thickBot="1" x14ac:dyDescent="0.4">
      <c r="A18" s="35" t="s">
        <v>56</v>
      </c>
      <c r="B18" s="36"/>
      <c r="C18" s="36"/>
      <c r="G18" s="396"/>
      <c r="H18" s="396"/>
      <c r="J18" s="397"/>
      <c r="K18" s="397"/>
    </row>
    <row r="19" spans="1:11" ht="12" hidden="1" customHeight="1" x14ac:dyDescent="0.3">
      <c r="A19" s="36"/>
      <c r="B19" s="400" t="s">
        <v>57</v>
      </c>
      <c r="C19" s="400"/>
      <c r="G19" s="37"/>
      <c r="H19" s="37"/>
      <c r="J19" s="162"/>
      <c r="K19" s="39"/>
    </row>
    <row r="20" spans="1:11" ht="4.5" customHeight="1" x14ac:dyDescent="0.3">
      <c r="A20" s="36"/>
      <c r="B20" s="36"/>
      <c r="C20" s="36"/>
      <c r="G20" s="37"/>
      <c r="H20" s="37"/>
      <c r="J20" s="162"/>
      <c r="K20" s="39"/>
    </row>
    <row r="21" spans="1:11" ht="16" hidden="1" thickBot="1" x14ac:dyDescent="0.4">
      <c r="A21" s="35" t="s">
        <v>58</v>
      </c>
      <c r="B21" s="36"/>
      <c r="C21" s="36"/>
      <c r="G21" s="401">
        <v>0</v>
      </c>
      <c r="H21" s="401"/>
      <c r="J21" s="397"/>
      <c r="K21" s="397"/>
    </row>
    <row r="22" spans="1:11" ht="24" hidden="1" customHeight="1" x14ac:dyDescent="0.3">
      <c r="A22" s="36"/>
      <c r="B22" s="400" t="s">
        <v>59</v>
      </c>
      <c r="C22" s="400"/>
      <c r="G22" s="37"/>
      <c r="H22" s="37"/>
      <c r="J22" s="162"/>
      <c r="K22" s="39"/>
    </row>
    <row r="23" spans="1:11" ht="3.75" customHeight="1" x14ac:dyDescent="0.3">
      <c r="A23" s="36"/>
      <c r="B23" s="36"/>
      <c r="C23" s="36"/>
      <c r="G23" s="37"/>
      <c r="H23" s="37"/>
      <c r="J23" s="162"/>
      <c r="K23" s="39"/>
    </row>
    <row r="24" spans="1:11" ht="16" thickBot="1" x14ac:dyDescent="0.4">
      <c r="A24" s="35" t="s">
        <v>76</v>
      </c>
      <c r="B24" s="162"/>
      <c r="C24" s="162"/>
      <c r="G24" s="396"/>
      <c r="H24" s="396"/>
      <c r="J24" s="397"/>
      <c r="K24" s="397"/>
    </row>
    <row r="25" spans="1:11" ht="13.5" customHeight="1" x14ac:dyDescent="0.3">
      <c r="A25" s="36"/>
      <c r="B25" s="400" t="s">
        <v>267</v>
      </c>
      <c r="C25" s="400"/>
      <c r="G25" s="37"/>
      <c r="H25" s="37"/>
      <c r="J25" s="162"/>
      <c r="K25" s="39"/>
    </row>
    <row r="26" spans="1:11" ht="3" customHeight="1" x14ac:dyDescent="0.3">
      <c r="A26" s="36"/>
      <c r="B26" s="36"/>
      <c r="C26" s="36"/>
      <c r="G26" s="37"/>
      <c r="H26" s="37"/>
      <c r="J26" s="162"/>
      <c r="K26" s="39"/>
    </row>
    <row r="27" spans="1:11" ht="16" thickBot="1" x14ac:dyDescent="0.4">
      <c r="A27" s="35" t="s">
        <v>77</v>
      </c>
      <c r="B27" s="36"/>
      <c r="C27" s="36"/>
      <c r="G27" s="456">
        <f>G15-G18-G21-G24</f>
        <v>0</v>
      </c>
      <c r="H27" s="456"/>
      <c r="J27" s="397"/>
      <c r="K27" s="397"/>
    </row>
    <row r="28" spans="1:11" ht="12" customHeight="1" x14ac:dyDescent="0.3">
      <c r="A28" s="36"/>
      <c r="B28" s="400" t="s">
        <v>78</v>
      </c>
      <c r="C28" s="400"/>
      <c r="G28" s="37"/>
      <c r="H28" s="37"/>
      <c r="J28" s="162"/>
      <c r="K28" s="39"/>
    </row>
    <row r="29" spans="1:11" ht="3" customHeight="1" x14ac:dyDescent="0.3">
      <c r="G29" s="37"/>
      <c r="H29" s="37"/>
      <c r="J29" s="162"/>
      <c r="K29" s="162"/>
    </row>
    <row r="30" spans="1:11" ht="16" thickBot="1" x14ac:dyDescent="0.4">
      <c r="A30" s="35" t="s">
        <v>79</v>
      </c>
      <c r="B30" s="36"/>
      <c r="C30" s="36"/>
      <c r="G30" s="456">
        <f>FV(E7,E4,,-G27)</f>
        <v>0</v>
      </c>
      <c r="H30" s="456"/>
      <c r="J30" s="397"/>
      <c r="K30" s="397"/>
    </row>
    <row r="31" spans="1:11" ht="9" customHeight="1" x14ac:dyDescent="0.3">
      <c r="A31" s="36" t="s">
        <v>60</v>
      </c>
      <c r="B31" s="400"/>
      <c r="C31" s="400"/>
      <c r="G31" s="38"/>
      <c r="H31" s="38"/>
      <c r="J31" s="162"/>
      <c r="K31" s="39"/>
    </row>
    <row r="32" spans="1:11" ht="3" hidden="1" customHeight="1" x14ac:dyDescent="0.3">
      <c r="A32" s="162"/>
      <c r="B32" s="162"/>
      <c r="C32" s="162"/>
      <c r="G32" s="37"/>
      <c r="H32" s="37"/>
      <c r="J32" s="162"/>
      <c r="K32" s="162"/>
    </row>
    <row r="33" spans="1:11" ht="16" thickBot="1" x14ac:dyDescent="0.4">
      <c r="A33" s="35" t="s">
        <v>80</v>
      </c>
      <c r="B33" s="36"/>
      <c r="C33" s="36"/>
      <c r="G33" s="456">
        <f>PV((E11-E10)/(1+E10),E5,-G30,-PV(E7,E5,,-E12),1)</f>
        <v>0</v>
      </c>
      <c r="H33" s="456"/>
      <c r="J33" s="397"/>
      <c r="K33" s="397"/>
    </row>
    <row r="34" spans="1:11" ht="11.25" customHeight="1" x14ac:dyDescent="0.3">
      <c r="A34" s="36"/>
      <c r="B34" s="400"/>
      <c r="C34" s="400"/>
      <c r="G34" s="38"/>
      <c r="H34" s="38"/>
      <c r="J34" s="162"/>
      <c r="K34" s="36"/>
    </row>
    <row r="35" spans="1:11" ht="2.25" hidden="1" customHeight="1" x14ac:dyDescent="0.3">
      <c r="A35" s="162"/>
      <c r="B35" s="162"/>
      <c r="C35" s="162"/>
      <c r="G35" s="37"/>
      <c r="H35" s="37"/>
      <c r="J35" s="162"/>
      <c r="K35" s="162"/>
    </row>
    <row r="36" spans="1:11" ht="16.5" customHeight="1" thickBot="1" x14ac:dyDescent="0.4">
      <c r="A36" s="35" t="s">
        <v>81</v>
      </c>
      <c r="C36" s="40"/>
      <c r="D36" s="40"/>
      <c r="G36" s="396"/>
      <c r="H36" s="396"/>
      <c r="J36" s="397"/>
      <c r="K36" s="397"/>
    </row>
    <row r="37" spans="1:11" ht="36.75" customHeight="1" x14ac:dyDescent="0.3">
      <c r="A37" s="162"/>
      <c r="B37" s="364" t="s">
        <v>263</v>
      </c>
      <c r="C37" s="364"/>
      <c r="D37" s="364"/>
      <c r="E37" s="41"/>
      <c r="G37" s="199"/>
      <c r="H37" s="199"/>
      <c r="J37" s="162"/>
      <c r="K37" s="39"/>
    </row>
    <row r="38" spans="1:11" ht="7.5" customHeight="1" x14ac:dyDescent="0.3">
      <c r="A38" s="162"/>
      <c r="B38" s="128"/>
      <c r="C38" s="128"/>
      <c r="G38" s="37"/>
      <c r="H38" s="37"/>
      <c r="J38" s="162"/>
      <c r="K38" s="39"/>
    </row>
    <row r="39" spans="1:11" ht="15.75" customHeight="1" thickBot="1" x14ac:dyDescent="0.4">
      <c r="A39" s="35" t="s">
        <v>82</v>
      </c>
      <c r="B39" s="36"/>
      <c r="C39" s="36"/>
      <c r="G39" s="456">
        <f>FV(E8,E4,,-G36,1)</f>
        <v>0</v>
      </c>
      <c r="H39" s="456"/>
      <c r="J39" s="162"/>
      <c r="K39" s="39"/>
    </row>
    <row r="40" spans="1:11" ht="12" customHeight="1" x14ac:dyDescent="0.3">
      <c r="A40" s="36"/>
      <c r="B40" s="400"/>
      <c r="C40" s="400"/>
      <c r="G40" s="42"/>
      <c r="H40" s="42"/>
      <c r="J40" s="162"/>
      <c r="K40" s="39"/>
    </row>
    <row r="41" spans="1:11" ht="6" customHeight="1" x14ac:dyDescent="0.3">
      <c r="A41" s="36"/>
      <c r="B41" s="36"/>
      <c r="C41" s="36"/>
      <c r="G41" s="37"/>
      <c r="H41" s="37"/>
      <c r="J41" s="162"/>
      <c r="K41" s="39"/>
    </row>
    <row r="42" spans="1:11" ht="15.75" customHeight="1" thickBot="1" x14ac:dyDescent="0.4">
      <c r="A42" s="35" t="s">
        <v>83</v>
      </c>
      <c r="B42" s="36"/>
      <c r="C42" s="36"/>
      <c r="G42" s="396"/>
      <c r="H42" s="396"/>
      <c r="J42" s="162"/>
      <c r="K42" s="39"/>
    </row>
    <row r="43" spans="1:11" ht="24" customHeight="1" x14ac:dyDescent="0.3">
      <c r="A43" s="36"/>
      <c r="B43" s="400" t="s">
        <v>75</v>
      </c>
      <c r="C43" s="400"/>
      <c r="G43" s="37"/>
      <c r="H43" s="37"/>
      <c r="J43" s="162"/>
      <c r="K43" s="39"/>
    </row>
    <row r="44" spans="1:11" ht="5.25" customHeight="1" x14ac:dyDescent="0.3">
      <c r="A44" s="36"/>
      <c r="B44" s="36"/>
      <c r="C44" s="36"/>
      <c r="G44" s="37"/>
      <c r="H44" s="37"/>
      <c r="J44" s="162"/>
      <c r="K44" s="39"/>
    </row>
    <row r="45" spans="1:11" ht="16" thickBot="1" x14ac:dyDescent="0.4">
      <c r="A45" s="35" t="s">
        <v>84</v>
      </c>
      <c r="G45" s="456">
        <f>FV(E8,E4,-G42,,1)</f>
        <v>0</v>
      </c>
      <c r="H45" s="456"/>
      <c r="J45" s="397"/>
      <c r="K45" s="397"/>
    </row>
    <row r="46" spans="1:11" ht="7.5" customHeight="1" x14ac:dyDescent="0.3">
      <c r="B46" s="400"/>
      <c r="C46" s="400"/>
      <c r="G46" s="200"/>
      <c r="H46" s="200"/>
      <c r="J46" s="162"/>
      <c r="K46" s="36"/>
    </row>
    <row r="47" spans="1:11" ht="9" customHeight="1" x14ac:dyDescent="0.3">
      <c r="A47" s="162"/>
      <c r="B47" s="162"/>
      <c r="C47" s="162"/>
      <c r="G47" s="42"/>
      <c r="H47" s="42"/>
      <c r="J47" s="162"/>
      <c r="K47" s="162"/>
    </row>
    <row r="48" spans="1:11" ht="16" thickBot="1" x14ac:dyDescent="0.4">
      <c r="A48" s="35" t="s">
        <v>85</v>
      </c>
      <c r="B48" s="36"/>
      <c r="C48" s="36"/>
      <c r="G48" s="456">
        <f>G33-G39-G45</f>
        <v>0</v>
      </c>
      <c r="H48" s="456"/>
      <c r="J48" s="397"/>
      <c r="K48" s="397"/>
    </row>
    <row r="49" spans="1:12" ht="14" x14ac:dyDescent="0.3">
      <c r="A49" s="36"/>
      <c r="B49" s="400" t="s">
        <v>86</v>
      </c>
      <c r="C49" s="400"/>
      <c r="G49" s="42"/>
      <c r="H49" s="42"/>
      <c r="J49" s="162"/>
      <c r="K49" s="43"/>
    </row>
    <row r="50" spans="1:12" ht="5.25" customHeight="1" x14ac:dyDescent="0.3">
      <c r="A50" s="44"/>
      <c r="B50" s="44"/>
      <c r="C50" s="44"/>
      <c r="D50" s="196"/>
      <c r="E50" s="196"/>
      <c r="F50" s="196"/>
      <c r="G50" s="45"/>
      <c r="H50" s="45"/>
      <c r="J50" s="162"/>
      <c r="K50" s="36"/>
    </row>
    <row r="51" spans="1:12" ht="19.5" customHeight="1" thickBot="1" x14ac:dyDescent="0.4">
      <c r="A51" s="35" t="s">
        <v>61</v>
      </c>
      <c r="B51" s="36"/>
      <c r="C51" s="36"/>
      <c r="G51" s="457" t="str">
        <f>IF(G48&lt;=0,"Congrats!",-PMT(E8,E4,0,G48,1))</f>
        <v>Congrats!</v>
      </c>
      <c r="H51" s="457"/>
      <c r="I51" s="201"/>
      <c r="L51" s="202"/>
    </row>
    <row r="52" spans="1:12" ht="18.75" customHeight="1" thickBot="1" x14ac:dyDescent="0.4">
      <c r="A52" s="35" t="s">
        <v>62</v>
      </c>
      <c r="B52" s="36"/>
      <c r="C52" s="36"/>
      <c r="G52" s="455" t="str">
        <f>IF(G48&lt;=0,"Congrats!",ROUND(-PMT(E8/12,E4*12,,G48,1),0))</f>
        <v>Congrats!</v>
      </c>
      <c r="H52" s="455"/>
      <c r="J52" s="162"/>
      <c r="K52" s="43"/>
      <c r="L52" s="201"/>
    </row>
    <row r="53" spans="1:12" ht="2.25" customHeight="1" x14ac:dyDescent="0.35">
      <c r="A53" s="35"/>
      <c r="B53" s="36"/>
      <c r="C53" s="36"/>
      <c r="G53" s="46"/>
      <c r="H53" s="46"/>
      <c r="J53" s="162"/>
      <c r="K53" s="43"/>
    </row>
    <row r="54" spans="1:12" ht="5.25" customHeight="1" x14ac:dyDescent="0.3">
      <c r="A54" s="196"/>
      <c r="B54" s="196"/>
      <c r="C54" s="196"/>
      <c r="D54" s="196"/>
      <c r="E54" s="196"/>
      <c r="F54" s="196"/>
      <c r="G54" s="47"/>
      <c r="H54" s="47"/>
      <c r="J54" s="162"/>
      <c r="K54" s="162"/>
    </row>
    <row r="55" spans="1:12" hidden="1" x14ac:dyDescent="0.3">
      <c r="B55" s="203" t="s">
        <v>63</v>
      </c>
      <c r="C55" s="204">
        <v>2</v>
      </c>
      <c r="D55" s="204">
        <v>16</v>
      </c>
      <c r="E55" s="204">
        <v>18</v>
      </c>
      <c r="F55" s="204">
        <v>25</v>
      </c>
      <c r="G55" s="204">
        <v>30</v>
      </c>
      <c r="H55" s="204">
        <v>35</v>
      </c>
      <c r="I55" s="205">
        <v>40</v>
      </c>
    </row>
    <row r="56" spans="1:12" hidden="1" x14ac:dyDescent="0.3">
      <c r="A56" s="206">
        <f>E7</f>
        <v>0</v>
      </c>
      <c r="B56" s="207" t="s">
        <v>64</v>
      </c>
      <c r="C56" s="208">
        <f>(1+$A56)^C$55</f>
        <v>1</v>
      </c>
      <c r="D56" s="209">
        <f t="shared" ref="D56:I56" si="0">(1+$A56)^D55</f>
        <v>1</v>
      </c>
      <c r="E56" s="209">
        <f t="shared" si="0"/>
        <v>1</v>
      </c>
      <c r="F56" s="209">
        <f t="shared" si="0"/>
        <v>1</v>
      </c>
      <c r="G56" s="209">
        <f t="shared" si="0"/>
        <v>1</v>
      </c>
      <c r="H56" s="210">
        <f t="shared" si="0"/>
        <v>1</v>
      </c>
      <c r="I56" s="211">
        <f t="shared" si="0"/>
        <v>1</v>
      </c>
    </row>
    <row r="57" spans="1:12" hidden="1" x14ac:dyDescent="0.3">
      <c r="A57" s="206">
        <f>E8</f>
        <v>0</v>
      </c>
      <c r="B57" s="212" t="s">
        <v>65</v>
      </c>
      <c r="C57" s="213">
        <f>(1+$A57)^C$55</f>
        <v>1</v>
      </c>
      <c r="D57" s="214">
        <f t="shared" ref="D57:I57" si="1">(1+$A57)^D$55</f>
        <v>1</v>
      </c>
      <c r="E57" s="214">
        <f t="shared" si="1"/>
        <v>1</v>
      </c>
      <c r="F57" s="214">
        <f t="shared" si="1"/>
        <v>1</v>
      </c>
      <c r="G57" s="214">
        <f t="shared" si="1"/>
        <v>1</v>
      </c>
      <c r="H57" s="214">
        <f t="shared" si="1"/>
        <v>1</v>
      </c>
      <c r="I57" s="215">
        <f t="shared" si="1"/>
        <v>1</v>
      </c>
    </row>
    <row r="58" spans="1:12" hidden="1" x14ac:dyDescent="0.3">
      <c r="B58" s="212" t="s">
        <v>66</v>
      </c>
      <c r="C58" s="213">
        <f>-FV($A57,C55,1,0,1)</f>
        <v>2</v>
      </c>
      <c r="D58" s="214">
        <f t="shared" ref="D58:I58" si="2">-FV($A57,D55,1,0,1)</f>
        <v>16</v>
      </c>
      <c r="E58" s="214">
        <f t="shared" si="2"/>
        <v>18</v>
      </c>
      <c r="F58" s="216">
        <f t="shared" si="2"/>
        <v>25</v>
      </c>
      <c r="G58" s="216">
        <f t="shared" si="2"/>
        <v>30</v>
      </c>
      <c r="H58" s="216">
        <f t="shared" si="2"/>
        <v>35</v>
      </c>
      <c r="I58" s="217">
        <f t="shared" si="2"/>
        <v>40</v>
      </c>
    </row>
    <row r="59" spans="1:12" ht="13.5" hidden="1" thickBot="1" x14ac:dyDescent="0.35">
      <c r="B59" s="218" t="s">
        <v>67</v>
      </c>
      <c r="C59" s="48" t="e">
        <f t="shared" ref="C59:I59" si="3">$A$57/(((1+$A$57)^C55-1)*(1+$A$57))</f>
        <v>#DIV/0!</v>
      </c>
      <c r="D59" s="48" t="e">
        <f t="shared" si="3"/>
        <v>#DIV/0!</v>
      </c>
      <c r="E59" s="48" t="e">
        <f t="shared" si="3"/>
        <v>#DIV/0!</v>
      </c>
      <c r="F59" s="48" t="e">
        <f t="shared" si="3"/>
        <v>#DIV/0!</v>
      </c>
      <c r="G59" s="48" t="e">
        <f t="shared" si="3"/>
        <v>#DIV/0!</v>
      </c>
      <c r="H59" s="48" t="e">
        <f t="shared" si="3"/>
        <v>#DIV/0!</v>
      </c>
      <c r="I59" s="49" t="e">
        <f t="shared" si="3"/>
        <v>#DIV/0!</v>
      </c>
    </row>
    <row r="60" spans="1:12" hidden="1" x14ac:dyDescent="0.3"/>
    <row r="61" spans="1:12" hidden="1" x14ac:dyDescent="0.3">
      <c r="B61" s="203" t="s">
        <v>68</v>
      </c>
      <c r="C61" s="204">
        <v>2</v>
      </c>
      <c r="D61" s="204">
        <v>16</v>
      </c>
      <c r="E61" s="204">
        <v>18</v>
      </c>
      <c r="F61" s="205">
        <v>25</v>
      </c>
      <c r="G61" s="205">
        <v>30</v>
      </c>
      <c r="H61" s="205">
        <v>35</v>
      </c>
      <c r="I61" s="205">
        <v>40</v>
      </c>
    </row>
    <row r="62" spans="1:12" ht="13.5" hidden="1" thickBot="1" x14ac:dyDescent="0.35">
      <c r="A62" s="206">
        <f>(1+E8)/(1+E7)-1</f>
        <v>0</v>
      </c>
      <c r="B62" s="219" t="s">
        <v>69</v>
      </c>
      <c r="C62" s="220" t="e">
        <f t="shared" ref="C62:I62" si="4">((1-(1+$A62)^-C61)/$A62)*(1+$A62)</f>
        <v>#DIV/0!</v>
      </c>
      <c r="D62" s="220" t="e">
        <f t="shared" si="4"/>
        <v>#DIV/0!</v>
      </c>
      <c r="E62" s="220" t="e">
        <f t="shared" si="4"/>
        <v>#DIV/0!</v>
      </c>
      <c r="F62" s="220" t="e">
        <f t="shared" si="4"/>
        <v>#DIV/0!</v>
      </c>
      <c r="G62" s="221" t="e">
        <f t="shared" si="4"/>
        <v>#DIV/0!</v>
      </c>
      <c r="H62" s="220" t="e">
        <f t="shared" si="4"/>
        <v>#DIV/0!</v>
      </c>
      <c r="I62" s="220" t="e">
        <f t="shared" si="4"/>
        <v>#DIV/0!</v>
      </c>
    </row>
    <row r="63" spans="1:12" hidden="1" x14ac:dyDescent="0.3">
      <c r="B63" s="162"/>
      <c r="C63" s="143"/>
      <c r="D63" s="143"/>
      <c r="E63" s="143"/>
    </row>
    <row r="64" spans="1:12" ht="15.5" hidden="1" x14ac:dyDescent="0.35">
      <c r="B64" s="406" t="s">
        <v>70</v>
      </c>
      <c r="C64" s="407"/>
      <c r="D64" s="407"/>
      <c r="E64" s="407"/>
      <c r="F64" s="407"/>
      <c r="G64" s="408"/>
      <c r="H64" s="222"/>
      <c r="I64" s="222"/>
    </row>
    <row r="65" spans="1:9" hidden="1" x14ac:dyDescent="0.3">
      <c r="B65" s="223"/>
      <c r="C65" s="409" t="s">
        <v>71</v>
      </c>
      <c r="D65" s="409"/>
      <c r="E65" s="409"/>
      <c r="F65" s="409"/>
      <c r="G65" s="410"/>
      <c r="H65" s="224"/>
      <c r="I65" s="224"/>
    </row>
    <row r="66" spans="1:9" ht="12.75" hidden="1" customHeight="1" x14ac:dyDescent="0.3">
      <c r="B66" s="223"/>
      <c r="C66" s="226">
        <v>10000</v>
      </c>
      <c r="D66" s="226"/>
      <c r="E66" s="226">
        <v>50000</v>
      </c>
      <c r="F66" s="411">
        <v>60000</v>
      </c>
      <c r="G66" s="412"/>
      <c r="H66" s="224"/>
      <c r="I66" s="224"/>
    </row>
    <row r="67" spans="1:9" ht="21.75" hidden="1" customHeight="1" x14ac:dyDescent="0.3">
      <c r="B67" s="227" t="s">
        <v>72</v>
      </c>
      <c r="C67" s="229">
        <v>7820</v>
      </c>
      <c r="D67" s="229"/>
      <c r="E67" s="229">
        <v>17630</v>
      </c>
      <c r="F67" s="413">
        <v>18620</v>
      </c>
      <c r="G67" s="414"/>
      <c r="H67" s="162"/>
      <c r="I67" s="162"/>
    </row>
    <row r="68" spans="1:9" ht="26.25" hidden="1" customHeight="1" thickBot="1" x14ac:dyDescent="0.35">
      <c r="B68" s="230" t="s">
        <v>73</v>
      </c>
      <c r="C68" s="232">
        <v>11730</v>
      </c>
      <c r="D68" s="232"/>
      <c r="E68" s="232">
        <v>26445</v>
      </c>
      <c r="F68" s="415">
        <v>27930</v>
      </c>
      <c r="G68" s="416"/>
      <c r="H68" s="162"/>
      <c r="I68" s="162"/>
    </row>
    <row r="69" spans="1:9" ht="4.5" customHeight="1" x14ac:dyDescent="0.3"/>
    <row r="70" spans="1:9" x14ac:dyDescent="0.3">
      <c r="A70" s="404" t="s">
        <v>74</v>
      </c>
      <c r="B70" s="404"/>
      <c r="C70" s="404"/>
      <c r="D70" s="404"/>
      <c r="E70" s="404"/>
      <c r="F70" s="404"/>
      <c r="G70" s="404"/>
      <c r="H70" s="404"/>
    </row>
    <row r="73" spans="1:9" x14ac:dyDescent="0.3">
      <c r="D73" s="233"/>
    </row>
  </sheetData>
  <mergeCells count="44">
    <mergeCell ref="G18:H18"/>
    <mergeCell ref="J18:K18"/>
    <mergeCell ref="A1:I1"/>
    <mergeCell ref="A2:I2"/>
    <mergeCell ref="G15:H15"/>
    <mergeCell ref="J15:K15"/>
    <mergeCell ref="B16:C16"/>
    <mergeCell ref="B19:C19"/>
    <mergeCell ref="G21:H21"/>
    <mergeCell ref="J21:K21"/>
    <mergeCell ref="B22:C22"/>
    <mergeCell ref="G24:H24"/>
    <mergeCell ref="J24:K24"/>
    <mergeCell ref="B25:C25"/>
    <mergeCell ref="G27:H27"/>
    <mergeCell ref="J27:K27"/>
    <mergeCell ref="B28:C28"/>
    <mergeCell ref="G30:H30"/>
    <mergeCell ref="J30:K30"/>
    <mergeCell ref="B31:C31"/>
    <mergeCell ref="G33:H33"/>
    <mergeCell ref="J33:K33"/>
    <mergeCell ref="B34:C34"/>
    <mergeCell ref="G36:H36"/>
    <mergeCell ref="J36:K36"/>
    <mergeCell ref="G51:H51"/>
    <mergeCell ref="B37:D37"/>
    <mergeCell ref="G39:H39"/>
    <mergeCell ref="B40:C40"/>
    <mergeCell ref="G42:H42"/>
    <mergeCell ref="B43:C43"/>
    <mergeCell ref="G45:H45"/>
    <mergeCell ref="J45:K45"/>
    <mergeCell ref="B46:C46"/>
    <mergeCell ref="G48:H48"/>
    <mergeCell ref="J48:K48"/>
    <mergeCell ref="B49:C49"/>
    <mergeCell ref="A70:H70"/>
    <mergeCell ref="G52:H52"/>
    <mergeCell ref="B64:G64"/>
    <mergeCell ref="C65:G65"/>
    <mergeCell ref="F66:G66"/>
    <mergeCell ref="F67:G67"/>
    <mergeCell ref="F68:G68"/>
  </mergeCells>
  <printOptions horizontalCentered="1" verticalCentered="1"/>
  <pageMargins left="0.5" right="0.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T69"/>
  <sheetViews>
    <sheetView showGridLines="0" zoomScale="75" zoomScaleNormal="75" workbookViewId="0">
      <selection activeCell="F3" sqref="F3"/>
    </sheetView>
  </sheetViews>
  <sheetFormatPr defaultColWidth="9.1796875" defaultRowHeight="12.5" x14ac:dyDescent="0.25"/>
  <cols>
    <col min="1" max="1" width="2.81640625" style="133" customWidth="1"/>
    <col min="2" max="2" width="51.81640625" style="133" customWidth="1"/>
    <col min="3" max="3" width="14.7265625" style="133" customWidth="1"/>
    <col min="4" max="4" width="18.7265625" style="133" customWidth="1"/>
    <col min="5" max="5" width="2.81640625" style="133" customWidth="1"/>
    <col min="6" max="6" width="18.7265625" style="133" customWidth="1"/>
    <col min="7" max="7" width="2.81640625" style="133" customWidth="1"/>
    <col min="8" max="8" width="18.7265625" style="133" customWidth="1"/>
    <col min="9" max="9" width="2.81640625" style="133" customWidth="1"/>
    <col min="10" max="10" width="18.7265625" style="133" customWidth="1"/>
    <col min="11" max="11" width="2.81640625" style="133" customWidth="1"/>
    <col min="12" max="12" width="18.7265625" style="133" customWidth="1"/>
    <col min="13" max="13" width="9.1796875" style="133"/>
    <col min="14" max="14" width="16.54296875" style="133" customWidth="1"/>
    <col min="15" max="15" width="9.26953125" style="133" bestFit="1" customWidth="1"/>
    <col min="16" max="16" width="11.453125" style="133" bestFit="1" customWidth="1"/>
    <col min="17" max="18" width="9.26953125" style="133" bestFit="1" customWidth="1"/>
    <col min="19" max="16384" width="9.1796875" style="133"/>
  </cols>
  <sheetData>
    <row r="1" spans="1:20" ht="23" x14ac:dyDescent="0.5">
      <c r="A1" s="359" t="s">
        <v>269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1"/>
    </row>
    <row r="2" spans="1:20" ht="24.75" customHeight="1" x14ac:dyDescent="0.25">
      <c r="A2" s="134"/>
      <c r="B2" s="135"/>
      <c r="C2" s="135"/>
      <c r="D2" s="136" t="s">
        <v>270</v>
      </c>
      <c r="E2" s="135"/>
      <c r="F2" s="137">
        <v>2020</v>
      </c>
      <c r="G2" s="135"/>
      <c r="H2" s="135"/>
      <c r="I2" s="135"/>
      <c r="J2" s="135"/>
      <c r="K2" s="135"/>
      <c r="L2" s="138"/>
    </row>
    <row r="3" spans="1:20" ht="20.149999999999999" customHeight="1" x14ac:dyDescent="0.4">
      <c r="A3" s="362" t="s">
        <v>271</v>
      </c>
      <c r="B3" s="363"/>
      <c r="C3" s="139"/>
      <c r="D3" s="140" t="s">
        <v>272</v>
      </c>
      <c r="E3" s="140"/>
      <c r="F3" s="140" t="s">
        <v>273</v>
      </c>
      <c r="G3" s="140"/>
      <c r="H3" s="140" t="s">
        <v>274</v>
      </c>
      <c r="I3" s="140"/>
      <c r="J3" s="140" t="s">
        <v>275</v>
      </c>
      <c r="K3" s="140"/>
      <c r="L3" s="141" t="s">
        <v>268</v>
      </c>
    </row>
    <row r="4" spans="1:20" ht="9.75" customHeight="1" x14ac:dyDescent="0.3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6"/>
    </row>
    <row r="5" spans="1:20" ht="20.149999999999999" customHeight="1" x14ac:dyDescent="0.4">
      <c r="A5" s="147"/>
      <c r="B5" s="148" t="s">
        <v>276</v>
      </c>
      <c r="C5" s="149"/>
      <c r="D5" s="150"/>
      <c r="E5" s="150"/>
      <c r="F5" s="150"/>
      <c r="G5" s="150"/>
      <c r="H5" s="150"/>
      <c r="I5" s="150"/>
      <c r="J5" s="150"/>
      <c r="K5" s="150"/>
      <c r="L5" s="151"/>
      <c r="N5" s="152"/>
      <c r="O5" s="152"/>
      <c r="P5" s="152"/>
      <c r="Q5" s="152"/>
      <c r="R5" s="152"/>
      <c r="S5" s="152"/>
      <c r="T5" s="152"/>
    </row>
    <row r="6" spans="1:20" ht="21" customHeight="1" x14ac:dyDescent="0.35">
      <c r="A6" s="142"/>
      <c r="B6" s="153"/>
      <c r="C6" s="154"/>
      <c r="D6" s="251"/>
      <c r="E6" s="252"/>
      <c r="F6" s="251"/>
      <c r="G6" s="252"/>
      <c r="H6" s="251"/>
      <c r="I6" s="252"/>
      <c r="J6" s="251"/>
      <c r="K6" s="252"/>
      <c r="L6" s="250">
        <f t="shared" ref="L6:L11" si="0">SUM(D6:J6)</f>
        <v>0</v>
      </c>
      <c r="N6" s="152"/>
      <c r="O6" s="155"/>
      <c r="P6" s="155"/>
      <c r="Q6" s="155"/>
      <c r="R6" s="155"/>
      <c r="S6" s="152"/>
      <c r="T6" s="152"/>
    </row>
    <row r="7" spans="1:20" ht="21" customHeight="1" x14ac:dyDescent="0.35">
      <c r="A7" s="142"/>
      <c r="B7" s="153"/>
      <c r="C7" s="156"/>
      <c r="D7" s="253"/>
      <c r="E7" s="252"/>
      <c r="F7" s="253"/>
      <c r="G7" s="252"/>
      <c r="H7" s="253"/>
      <c r="I7" s="252"/>
      <c r="J7" s="253"/>
      <c r="K7" s="252"/>
      <c r="L7" s="254">
        <f t="shared" si="0"/>
        <v>0</v>
      </c>
      <c r="N7" s="152"/>
      <c r="O7" s="155"/>
      <c r="P7" s="155"/>
      <c r="Q7" s="155"/>
      <c r="R7" s="155"/>
      <c r="S7" s="152"/>
      <c r="T7" s="152"/>
    </row>
    <row r="8" spans="1:20" ht="21" customHeight="1" x14ac:dyDescent="0.35">
      <c r="A8" s="142"/>
      <c r="B8" s="153"/>
      <c r="C8" s="156"/>
      <c r="D8" s="253"/>
      <c r="E8" s="252"/>
      <c r="F8" s="253"/>
      <c r="G8" s="252"/>
      <c r="H8" s="253"/>
      <c r="I8" s="252"/>
      <c r="J8" s="253"/>
      <c r="K8" s="252"/>
      <c r="L8" s="254">
        <f t="shared" si="0"/>
        <v>0</v>
      </c>
      <c r="N8" s="152"/>
      <c r="O8" s="155"/>
      <c r="P8" s="155"/>
      <c r="Q8" s="155"/>
      <c r="R8" s="155"/>
      <c r="S8" s="152"/>
      <c r="T8" s="152"/>
    </row>
    <row r="9" spans="1:20" ht="21" customHeight="1" x14ac:dyDescent="0.35">
      <c r="A9" s="142"/>
      <c r="B9" s="157" t="s">
        <v>280</v>
      </c>
      <c r="C9" s="156"/>
      <c r="D9" s="253"/>
      <c r="E9" s="252"/>
      <c r="F9" s="253"/>
      <c r="G9" s="252"/>
      <c r="H9" s="253"/>
      <c r="I9" s="252"/>
      <c r="J9" s="253"/>
      <c r="K9" s="252"/>
      <c r="L9" s="254">
        <f t="shared" si="0"/>
        <v>0</v>
      </c>
      <c r="N9" s="152"/>
      <c r="O9" s="155"/>
      <c r="P9" s="155"/>
      <c r="Q9" s="155"/>
      <c r="R9" s="155"/>
      <c r="S9" s="152"/>
      <c r="T9" s="152"/>
    </row>
    <row r="10" spans="1:20" ht="21" customHeight="1" x14ac:dyDescent="0.35">
      <c r="A10" s="142"/>
      <c r="B10" s="157" t="s">
        <v>281</v>
      </c>
      <c r="C10" s="156"/>
      <c r="D10" s="253"/>
      <c r="E10" s="252"/>
      <c r="F10" s="253"/>
      <c r="G10" s="252"/>
      <c r="H10" s="253"/>
      <c r="I10" s="252"/>
      <c r="J10" s="253"/>
      <c r="K10" s="252"/>
      <c r="L10" s="254">
        <f t="shared" si="0"/>
        <v>0</v>
      </c>
      <c r="N10" s="152"/>
      <c r="O10" s="155"/>
      <c r="P10" s="155"/>
      <c r="Q10" s="155"/>
      <c r="R10" s="155"/>
      <c r="S10" s="152"/>
      <c r="T10" s="152"/>
    </row>
    <row r="11" spans="1:20" ht="21" customHeight="1" x14ac:dyDescent="0.35">
      <c r="A11" s="142"/>
      <c r="B11" s="157" t="s">
        <v>282</v>
      </c>
      <c r="C11" s="156"/>
      <c r="D11" s="253"/>
      <c r="E11" s="252"/>
      <c r="F11" s="253"/>
      <c r="G11" s="252"/>
      <c r="H11" s="253"/>
      <c r="I11" s="252"/>
      <c r="J11" s="253"/>
      <c r="K11" s="252"/>
      <c r="L11" s="254">
        <f t="shared" si="0"/>
        <v>0</v>
      </c>
      <c r="N11" s="152"/>
      <c r="O11" s="155"/>
      <c r="P11" s="155"/>
      <c r="Q11" s="155"/>
      <c r="R11" s="155"/>
      <c r="S11" s="152"/>
      <c r="T11" s="152"/>
    </row>
    <row r="12" spans="1:20" ht="6" customHeight="1" thickBot="1" x14ac:dyDescent="0.4">
      <c r="A12" s="158"/>
      <c r="B12" s="159"/>
      <c r="C12" s="160"/>
      <c r="D12" s="255"/>
      <c r="E12" s="255"/>
      <c r="F12" s="255"/>
      <c r="G12" s="255"/>
      <c r="H12" s="255"/>
      <c r="I12" s="255"/>
      <c r="J12" s="255"/>
      <c r="K12" s="255"/>
      <c r="L12" s="256"/>
      <c r="N12" s="152"/>
      <c r="O12" s="155"/>
      <c r="P12" s="155"/>
      <c r="Q12" s="155"/>
      <c r="R12" s="155"/>
      <c r="S12" s="152"/>
      <c r="T12" s="152"/>
    </row>
    <row r="13" spans="1:20" ht="21" customHeight="1" x14ac:dyDescent="0.35">
      <c r="A13" s="142" t="s">
        <v>283</v>
      </c>
      <c r="B13" s="35" t="s">
        <v>284</v>
      </c>
      <c r="C13" s="161"/>
      <c r="D13" s="248">
        <f>SUM(D6:D11)</f>
        <v>0</v>
      </c>
      <c r="E13" s="249"/>
      <c r="F13" s="248">
        <f>SUM(F6:F11)</f>
        <v>0</v>
      </c>
      <c r="G13" s="249"/>
      <c r="H13" s="248">
        <f>SUM(H6:H11)</f>
        <v>0</v>
      </c>
      <c r="I13" s="249"/>
      <c r="J13" s="248">
        <f>SUM(J6:J11)</f>
        <v>0</v>
      </c>
      <c r="K13" s="249"/>
      <c r="L13" s="250">
        <f>SUM(L6:L11)</f>
        <v>0</v>
      </c>
      <c r="N13" s="152"/>
      <c r="O13" s="152"/>
      <c r="P13" s="152"/>
      <c r="Q13" s="152"/>
      <c r="R13" s="152"/>
      <c r="S13" s="152"/>
      <c r="T13" s="152"/>
    </row>
    <row r="14" spans="1:20" ht="9" customHeight="1" x14ac:dyDescent="0.35">
      <c r="A14" s="142"/>
      <c r="B14" s="162"/>
      <c r="C14" s="163"/>
      <c r="D14" s="257"/>
      <c r="E14" s="257"/>
      <c r="F14" s="257"/>
      <c r="G14" s="257"/>
      <c r="H14" s="257"/>
      <c r="I14" s="257"/>
      <c r="J14" s="257"/>
      <c r="K14" s="257"/>
      <c r="L14" s="258"/>
      <c r="N14" s="152"/>
      <c r="O14" s="152"/>
      <c r="P14" s="152"/>
      <c r="Q14" s="152"/>
      <c r="R14" s="152"/>
      <c r="S14" s="152"/>
      <c r="T14" s="152"/>
    </row>
    <row r="15" spans="1:20" ht="20.149999999999999" customHeight="1" thickBot="1" x14ac:dyDescent="0.45">
      <c r="A15" s="164"/>
      <c r="B15" s="148" t="s">
        <v>285</v>
      </c>
      <c r="C15" s="149"/>
      <c r="D15" s="259"/>
      <c r="E15" s="259"/>
      <c r="F15" s="259"/>
      <c r="G15" s="259"/>
      <c r="H15" s="259"/>
      <c r="I15" s="259"/>
      <c r="J15" s="259"/>
      <c r="K15" s="259"/>
      <c r="L15" s="260"/>
      <c r="M15" s="165" t="s">
        <v>397</v>
      </c>
      <c r="N15" s="152"/>
      <c r="O15" s="152"/>
      <c r="P15" s="152"/>
      <c r="Q15" s="152"/>
      <c r="R15" s="152"/>
      <c r="S15" s="152"/>
      <c r="T15" s="152"/>
    </row>
    <row r="16" spans="1:20" ht="21" customHeight="1" x14ac:dyDescent="0.35">
      <c r="A16" s="142"/>
      <c r="B16" s="153" t="s">
        <v>287</v>
      </c>
      <c r="C16" s="161"/>
      <c r="D16" s="261"/>
      <c r="E16" s="252"/>
      <c r="F16" s="261"/>
      <c r="G16" s="262"/>
      <c r="H16" s="261"/>
      <c r="I16" s="262"/>
      <c r="J16" s="261"/>
      <c r="K16" s="262"/>
      <c r="L16" s="263">
        <f t="shared" ref="L16:L43" si="1">SUM(D16:J16)</f>
        <v>0</v>
      </c>
      <c r="M16" s="166"/>
      <c r="N16" s="152" t="s">
        <v>288</v>
      </c>
      <c r="O16" s="155"/>
      <c r="P16" s="155"/>
      <c r="Q16" s="155"/>
      <c r="R16" s="155"/>
      <c r="S16" s="152"/>
      <c r="T16" s="152"/>
    </row>
    <row r="17" spans="1:20" ht="21" customHeight="1" x14ac:dyDescent="0.35">
      <c r="A17" s="142"/>
      <c r="B17" s="157" t="s">
        <v>289</v>
      </c>
      <c r="C17" s="161"/>
      <c r="D17" s="253"/>
      <c r="E17" s="252"/>
      <c r="F17" s="253"/>
      <c r="G17" s="252"/>
      <c r="H17" s="253"/>
      <c r="I17" s="252"/>
      <c r="J17" s="253"/>
      <c r="K17" s="252"/>
      <c r="L17" s="254">
        <f t="shared" si="1"/>
        <v>0</v>
      </c>
      <c r="M17" s="166"/>
      <c r="N17" s="152"/>
      <c r="O17" s="155"/>
      <c r="P17" s="155"/>
      <c r="Q17" s="155"/>
      <c r="R17" s="155"/>
      <c r="S17" s="152"/>
      <c r="T17" s="152"/>
    </row>
    <row r="18" spans="1:20" ht="21" customHeight="1" x14ac:dyDescent="0.35">
      <c r="A18" s="142"/>
      <c r="B18" s="157" t="s">
        <v>290</v>
      </c>
      <c r="C18" s="161"/>
      <c r="D18" s="253"/>
      <c r="E18" s="252"/>
      <c r="F18" s="253"/>
      <c r="G18" s="252"/>
      <c r="H18" s="253"/>
      <c r="I18" s="252"/>
      <c r="J18" s="253"/>
      <c r="K18" s="252"/>
      <c r="L18" s="254">
        <f t="shared" si="1"/>
        <v>0</v>
      </c>
      <c r="M18" s="166"/>
      <c r="N18" s="152"/>
      <c r="O18" s="155"/>
      <c r="P18" s="155"/>
      <c r="Q18" s="155"/>
      <c r="R18" s="155"/>
      <c r="S18" s="152"/>
      <c r="T18" s="152"/>
    </row>
    <row r="19" spans="1:20" ht="21" customHeight="1" x14ac:dyDescent="0.35">
      <c r="A19" s="142"/>
      <c r="B19" s="157" t="s">
        <v>291</v>
      </c>
      <c r="C19" s="161"/>
      <c r="D19" s="253"/>
      <c r="E19" s="252"/>
      <c r="F19" s="253"/>
      <c r="G19" s="252"/>
      <c r="H19" s="253"/>
      <c r="I19" s="252"/>
      <c r="J19" s="253"/>
      <c r="K19" s="252"/>
      <c r="L19" s="254">
        <f t="shared" si="1"/>
        <v>0</v>
      </c>
      <c r="M19" s="166"/>
      <c r="N19" s="152"/>
      <c r="O19" s="155"/>
      <c r="P19" s="155"/>
      <c r="Q19" s="155"/>
      <c r="R19" s="155"/>
      <c r="S19" s="152"/>
      <c r="T19" s="152"/>
    </row>
    <row r="20" spans="1:20" ht="21" customHeight="1" x14ac:dyDescent="0.35">
      <c r="A20" s="142"/>
      <c r="B20" s="157" t="s">
        <v>292</v>
      </c>
      <c r="C20" s="161"/>
      <c r="D20" s="253"/>
      <c r="E20" s="252"/>
      <c r="F20" s="253"/>
      <c r="G20" s="252"/>
      <c r="H20" s="253"/>
      <c r="I20" s="252"/>
      <c r="J20" s="253"/>
      <c r="K20" s="252"/>
      <c r="L20" s="254">
        <f t="shared" si="1"/>
        <v>0</v>
      </c>
      <c r="M20" s="166"/>
      <c r="N20" s="152"/>
      <c r="O20" s="155"/>
      <c r="P20" s="167"/>
      <c r="Q20" s="155"/>
      <c r="R20" s="155"/>
      <c r="S20" s="152"/>
      <c r="T20" s="152"/>
    </row>
    <row r="21" spans="1:20" ht="21" customHeight="1" x14ac:dyDescent="0.35">
      <c r="A21" s="142"/>
      <c r="B21" s="157" t="s">
        <v>293</v>
      </c>
      <c r="C21" s="161"/>
      <c r="D21" s="253"/>
      <c r="E21" s="252"/>
      <c r="F21" s="253"/>
      <c r="G21" s="252"/>
      <c r="H21" s="253"/>
      <c r="I21" s="252"/>
      <c r="J21" s="253"/>
      <c r="K21" s="252"/>
      <c r="L21" s="254">
        <f t="shared" si="1"/>
        <v>0</v>
      </c>
      <c r="M21" s="166"/>
      <c r="N21" s="152"/>
      <c r="O21" s="155"/>
      <c r="P21" s="167"/>
      <c r="Q21" s="168"/>
      <c r="R21" s="155"/>
      <c r="S21" s="152"/>
      <c r="T21" s="152"/>
    </row>
    <row r="22" spans="1:20" ht="21" customHeight="1" x14ac:dyDescent="0.35">
      <c r="A22" s="142"/>
      <c r="B22" s="157" t="s">
        <v>294</v>
      </c>
      <c r="C22" s="161"/>
      <c r="D22" s="253"/>
      <c r="E22" s="252"/>
      <c r="F22" s="253"/>
      <c r="G22" s="252"/>
      <c r="H22" s="253"/>
      <c r="I22" s="252"/>
      <c r="J22" s="253"/>
      <c r="K22" s="252"/>
      <c r="L22" s="254">
        <f t="shared" si="1"/>
        <v>0</v>
      </c>
      <c r="M22" s="166"/>
      <c r="N22" s="152"/>
      <c r="O22" s="155"/>
      <c r="P22" s="167"/>
      <c r="Q22" s="168"/>
      <c r="R22" s="155"/>
      <c r="S22" s="152"/>
      <c r="T22" s="152"/>
    </row>
    <row r="23" spans="1:20" ht="21" customHeight="1" x14ac:dyDescent="0.35">
      <c r="A23" s="142"/>
      <c r="B23" s="157" t="s">
        <v>295</v>
      </c>
      <c r="C23" s="161"/>
      <c r="D23" s="253"/>
      <c r="E23" s="252"/>
      <c r="F23" s="253"/>
      <c r="G23" s="252"/>
      <c r="H23" s="253"/>
      <c r="I23" s="252"/>
      <c r="J23" s="253"/>
      <c r="K23" s="252"/>
      <c r="L23" s="254">
        <f t="shared" si="1"/>
        <v>0</v>
      </c>
      <c r="M23" s="166"/>
      <c r="N23" s="152"/>
      <c r="O23" s="155"/>
      <c r="P23" s="167"/>
      <c r="Q23" s="168"/>
      <c r="R23" s="155"/>
      <c r="S23" s="152"/>
      <c r="T23" s="152"/>
    </row>
    <row r="24" spans="1:20" ht="21" customHeight="1" x14ac:dyDescent="0.35">
      <c r="A24" s="142"/>
      <c r="B24" s="157" t="s">
        <v>296</v>
      </c>
      <c r="C24" s="161"/>
      <c r="D24" s="253"/>
      <c r="E24" s="252"/>
      <c r="F24" s="253"/>
      <c r="G24" s="252"/>
      <c r="H24" s="253"/>
      <c r="I24" s="252"/>
      <c r="J24" s="253"/>
      <c r="K24" s="252"/>
      <c r="L24" s="254">
        <f t="shared" si="1"/>
        <v>0</v>
      </c>
      <c r="M24" s="166"/>
      <c r="N24" s="152"/>
      <c r="O24" s="155"/>
      <c r="P24" s="167"/>
      <c r="Q24" s="168"/>
      <c r="R24" s="155"/>
      <c r="S24" s="152"/>
      <c r="T24" s="152"/>
    </row>
    <row r="25" spans="1:20" ht="21" customHeight="1" x14ac:dyDescent="0.35">
      <c r="A25" s="142"/>
      <c r="B25" s="239" t="s">
        <v>297</v>
      </c>
      <c r="C25" s="161"/>
      <c r="D25" s="253"/>
      <c r="E25" s="252"/>
      <c r="F25" s="253"/>
      <c r="G25" s="252"/>
      <c r="H25" s="253"/>
      <c r="I25" s="252"/>
      <c r="J25" s="253"/>
      <c r="K25" s="252"/>
      <c r="L25" s="254">
        <f t="shared" si="1"/>
        <v>0</v>
      </c>
      <c r="M25" s="166"/>
      <c r="N25" s="152"/>
      <c r="O25" s="155"/>
      <c r="P25" s="167"/>
      <c r="Q25" s="168"/>
      <c r="R25" s="155"/>
      <c r="S25" s="152"/>
      <c r="T25" s="152"/>
    </row>
    <row r="26" spans="1:20" ht="21" customHeight="1" x14ac:dyDescent="0.35">
      <c r="A26" s="142"/>
      <c r="B26" s="157" t="s">
        <v>298</v>
      </c>
      <c r="C26" s="161"/>
      <c r="D26" s="253"/>
      <c r="E26" s="252"/>
      <c r="F26" s="253"/>
      <c r="G26" s="252"/>
      <c r="H26" s="253"/>
      <c r="I26" s="252"/>
      <c r="J26" s="253"/>
      <c r="K26" s="252"/>
      <c r="L26" s="254">
        <f t="shared" si="1"/>
        <v>0</v>
      </c>
      <c r="M26" s="166"/>
      <c r="N26" s="152"/>
      <c r="O26" s="155"/>
      <c r="P26" s="169"/>
      <c r="Q26" s="168"/>
      <c r="R26" s="155"/>
      <c r="S26" s="152"/>
      <c r="T26" s="152"/>
    </row>
    <row r="27" spans="1:20" ht="21" customHeight="1" x14ac:dyDescent="0.35">
      <c r="A27" s="142"/>
      <c r="B27" s="157" t="s">
        <v>299</v>
      </c>
      <c r="C27" s="161"/>
      <c r="D27" s="253"/>
      <c r="E27" s="252"/>
      <c r="F27" s="253"/>
      <c r="G27" s="252"/>
      <c r="H27" s="253"/>
      <c r="I27" s="252"/>
      <c r="J27" s="253"/>
      <c r="K27" s="252"/>
      <c r="L27" s="254">
        <f t="shared" si="1"/>
        <v>0</v>
      </c>
      <c r="M27" s="166"/>
      <c r="N27" s="152"/>
      <c r="O27" s="155"/>
      <c r="P27" s="155"/>
      <c r="Q27" s="155"/>
      <c r="R27" s="155"/>
      <c r="S27" s="152"/>
      <c r="T27" s="152"/>
    </row>
    <row r="28" spans="1:20" ht="21" customHeight="1" x14ac:dyDescent="0.35">
      <c r="A28" s="142"/>
      <c r="B28" s="157" t="s">
        <v>300</v>
      </c>
      <c r="C28" s="161"/>
      <c r="D28" s="253"/>
      <c r="E28" s="252"/>
      <c r="F28" s="253"/>
      <c r="G28" s="252"/>
      <c r="H28" s="253"/>
      <c r="I28" s="252"/>
      <c r="J28" s="253"/>
      <c r="K28" s="252"/>
      <c r="L28" s="254">
        <f t="shared" si="1"/>
        <v>0</v>
      </c>
      <c r="M28" s="166"/>
      <c r="N28" s="152"/>
      <c r="O28" s="155"/>
      <c r="P28" s="155"/>
      <c r="Q28" s="155"/>
      <c r="R28" s="155"/>
      <c r="S28" s="152"/>
      <c r="T28" s="152"/>
    </row>
    <row r="29" spans="1:20" ht="21" customHeight="1" x14ac:dyDescent="0.35">
      <c r="A29" s="142"/>
      <c r="B29" s="157" t="s">
        <v>301</v>
      </c>
      <c r="C29" s="161"/>
      <c r="D29" s="253"/>
      <c r="E29" s="252"/>
      <c r="F29" s="253"/>
      <c r="G29" s="252"/>
      <c r="H29" s="253"/>
      <c r="I29" s="252"/>
      <c r="J29" s="253"/>
      <c r="K29" s="252"/>
      <c r="L29" s="254">
        <f t="shared" si="1"/>
        <v>0</v>
      </c>
      <c r="M29" s="166"/>
      <c r="N29" s="152"/>
      <c r="O29" s="155"/>
      <c r="P29" s="167"/>
      <c r="Q29" s="168"/>
      <c r="R29" s="155"/>
      <c r="S29" s="152"/>
      <c r="T29" s="152"/>
    </row>
    <row r="30" spans="1:20" ht="21" customHeight="1" x14ac:dyDescent="0.35">
      <c r="A30" s="142"/>
      <c r="B30" s="157" t="s">
        <v>302</v>
      </c>
      <c r="C30" s="161"/>
      <c r="D30" s="253"/>
      <c r="E30" s="252"/>
      <c r="F30" s="253"/>
      <c r="G30" s="252"/>
      <c r="H30" s="253"/>
      <c r="I30" s="252"/>
      <c r="J30" s="253"/>
      <c r="K30" s="252"/>
      <c r="L30" s="254">
        <f t="shared" si="1"/>
        <v>0</v>
      </c>
      <c r="M30" s="166"/>
      <c r="N30" s="152"/>
      <c r="O30" s="155"/>
      <c r="P30" s="155"/>
      <c r="Q30" s="155"/>
      <c r="R30" s="155"/>
      <c r="S30" s="152"/>
      <c r="T30" s="152"/>
    </row>
    <row r="31" spans="1:20" ht="21" customHeight="1" x14ac:dyDescent="0.35">
      <c r="A31" s="142"/>
      <c r="B31" s="157" t="s">
        <v>303</v>
      </c>
      <c r="C31" s="161"/>
      <c r="D31" s="253"/>
      <c r="E31" s="252"/>
      <c r="F31" s="253"/>
      <c r="G31" s="252"/>
      <c r="H31" s="253"/>
      <c r="I31" s="252"/>
      <c r="J31" s="253"/>
      <c r="K31" s="252"/>
      <c r="L31" s="254">
        <f t="shared" si="1"/>
        <v>0</v>
      </c>
      <c r="M31" s="166"/>
      <c r="N31" s="152"/>
      <c r="O31" s="155"/>
      <c r="P31" s="155"/>
      <c r="Q31" s="170"/>
      <c r="R31" s="155"/>
      <c r="S31" s="152"/>
      <c r="T31" s="152"/>
    </row>
    <row r="32" spans="1:20" ht="21" customHeight="1" x14ac:dyDescent="0.35">
      <c r="A32" s="142"/>
      <c r="B32" s="157" t="s">
        <v>304</v>
      </c>
      <c r="C32" s="161"/>
      <c r="D32" s="253"/>
      <c r="E32" s="252"/>
      <c r="F32" s="253"/>
      <c r="G32" s="252"/>
      <c r="H32" s="253"/>
      <c r="I32" s="252"/>
      <c r="J32" s="253"/>
      <c r="K32" s="252"/>
      <c r="L32" s="254">
        <f t="shared" si="1"/>
        <v>0</v>
      </c>
      <c r="M32" s="166"/>
      <c r="N32" s="152"/>
      <c r="O32" s="155"/>
      <c r="P32" s="155"/>
      <c r="Q32" s="155"/>
      <c r="R32" s="155"/>
      <c r="S32" s="152"/>
      <c r="T32" s="152"/>
    </row>
    <row r="33" spans="1:20" ht="21" customHeight="1" x14ac:dyDescent="0.35">
      <c r="A33" s="142"/>
      <c r="B33" s="157" t="s">
        <v>305</v>
      </c>
      <c r="C33" s="161"/>
      <c r="D33" s="253"/>
      <c r="E33" s="252"/>
      <c r="F33" s="253"/>
      <c r="G33" s="252"/>
      <c r="H33" s="253"/>
      <c r="I33" s="252"/>
      <c r="J33" s="253"/>
      <c r="K33" s="252"/>
      <c r="L33" s="254">
        <f t="shared" si="1"/>
        <v>0</v>
      </c>
      <c r="M33" s="166"/>
      <c r="N33" s="152"/>
      <c r="O33" s="155"/>
      <c r="P33" s="155"/>
      <c r="Q33" s="155"/>
      <c r="R33" s="155"/>
      <c r="S33" s="152"/>
      <c r="T33" s="152"/>
    </row>
    <row r="34" spans="1:20" ht="21" customHeight="1" x14ac:dyDescent="0.35">
      <c r="A34" s="142"/>
      <c r="B34" s="157" t="s">
        <v>306</v>
      </c>
      <c r="C34" s="161"/>
      <c r="D34" s="253"/>
      <c r="E34" s="252"/>
      <c r="F34" s="253"/>
      <c r="G34" s="252"/>
      <c r="H34" s="253"/>
      <c r="I34" s="252"/>
      <c r="J34" s="253"/>
      <c r="K34" s="252"/>
      <c r="L34" s="254">
        <f t="shared" si="1"/>
        <v>0</v>
      </c>
      <c r="M34" s="166"/>
      <c r="N34" s="152"/>
      <c r="O34" s="155"/>
      <c r="P34" s="155"/>
      <c r="Q34" s="155"/>
      <c r="R34" s="155"/>
      <c r="S34" s="152"/>
      <c r="T34" s="152"/>
    </row>
    <row r="35" spans="1:20" ht="21" customHeight="1" x14ac:dyDescent="0.35">
      <c r="A35" s="142"/>
      <c r="B35" s="157" t="s">
        <v>307</v>
      </c>
      <c r="C35" s="161"/>
      <c r="D35" s="253"/>
      <c r="E35" s="252"/>
      <c r="F35" s="253"/>
      <c r="G35" s="252"/>
      <c r="H35" s="253"/>
      <c r="I35" s="252"/>
      <c r="J35" s="253"/>
      <c r="K35" s="252"/>
      <c r="L35" s="254">
        <f t="shared" si="1"/>
        <v>0</v>
      </c>
      <c r="M35" s="166"/>
      <c r="N35" s="152"/>
      <c r="O35" s="155"/>
      <c r="P35" s="155"/>
      <c r="Q35" s="155"/>
      <c r="R35" s="155"/>
      <c r="S35" s="152"/>
      <c r="T35" s="152"/>
    </row>
    <row r="36" spans="1:20" ht="21" customHeight="1" x14ac:dyDescent="0.35">
      <c r="A36" s="142"/>
      <c r="B36" s="157" t="s">
        <v>308</v>
      </c>
      <c r="C36" s="161"/>
      <c r="D36" s="253"/>
      <c r="E36" s="252"/>
      <c r="F36" s="253"/>
      <c r="G36" s="252"/>
      <c r="H36" s="253"/>
      <c r="I36" s="252"/>
      <c r="J36" s="253"/>
      <c r="K36" s="252"/>
      <c r="L36" s="254">
        <f t="shared" si="1"/>
        <v>0</v>
      </c>
      <c r="N36" s="152"/>
      <c r="O36" s="155"/>
      <c r="P36" s="155"/>
      <c r="Q36" s="155"/>
      <c r="R36" s="155"/>
      <c r="S36" s="152"/>
      <c r="T36" s="152"/>
    </row>
    <row r="37" spans="1:20" ht="21" customHeight="1" x14ac:dyDescent="0.35">
      <c r="A37" s="142"/>
      <c r="B37" s="157" t="s">
        <v>378</v>
      </c>
      <c r="C37" s="161"/>
      <c r="D37" s="253"/>
      <c r="E37" s="252"/>
      <c r="F37" s="253"/>
      <c r="G37" s="252"/>
      <c r="H37" s="253"/>
      <c r="I37" s="252"/>
      <c r="J37" s="253"/>
      <c r="K37" s="252"/>
      <c r="L37" s="254">
        <f t="shared" si="1"/>
        <v>0</v>
      </c>
      <c r="N37" s="152"/>
      <c r="O37" s="155"/>
      <c r="P37" s="155"/>
      <c r="Q37" s="155"/>
      <c r="R37" s="155"/>
      <c r="S37" s="152"/>
      <c r="T37" s="152"/>
    </row>
    <row r="38" spans="1:20" ht="21" customHeight="1" x14ac:dyDescent="0.35">
      <c r="A38" s="142"/>
      <c r="B38" s="157" t="s">
        <v>93</v>
      </c>
      <c r="C38" s="161"/>
      <c r="D38" s="253"/>
      <c r="E38" s="252"/>
      <c r="F38" s="264"/>
      <c r="G38" s="252"/>
      <c r="H38" s="253"/>
      <c r="I38" s="252"/>
      <c r="J38" s="253"/>
      <c r="K38" s="252"/>
      <c r="L38" s="254">
        <f t="shared" si="1"/>
        <v>0</v>
      </c>
      <c r="N38" s="152"/>
      <c r="O38" s="155"/>
      <c r="P38" s="155"/>
      <c r="Q38" s="155"/>
      <c r="R38" s="155"/>
      <c r="S38" s="152"/>
      <c r="T38" s="152"/>
    </row>
    <row r="39" spans="1:20" ht="21" customHeight="1" x14ac:dyDescent="0.35">
      <c r="A39" s="142"/>
      <c r="B39" s="157" t="s">
        <v>310</v>
      </c>
      <c r="C39" s="161"/>
      <c r="D39" s="253"/>
      <c r="E39" s="252"/>
      <c r="F39" s="253"/>
      <c r="G39" s="252"/>
      <c r="H39" s="253"/>
      <c r="I39" s="252"/>
      <c r="J39" s="253"/>
      <c r="K39" s="252"/>
      <c r="L39" s="254">
        <f t="shared" si="1"/>
        <v>0</v>
      </c>
      <c r="N39" s="152"/>
      <c r="O39" s="155"/>
      <c r="P39" s="155"/>
      <c r="Q39" s="155"/>
      <c r="R39" s="155"/>
      <c r="S39" s="152"/>
      <c r="T39" s="152"/>
    </row>
    <row r="40" spans="1:20" ht="21" customHeight="1" x14ac:dyDescent="0.35">
      <c r="A40" s="142"/>
      <c r="B40" s="239" t="s">
        <v>311</v>
      </c>
      <c r="C40" s="161"/>
      <c r="D40" s="265"/>
      <c r="E40" s="252"/>
      <c r="F40" s="265"/>
      <c r="G40" s="252"/>
      <c r="H40" s="265"/>
      <c r="I40" s="252"/>
      <c r="J40" s="265"/>
      <c r="K40" s="252"/>
      <c r="L40" s="254">
        <f t="shared" si="1"/>
        <v>0</v>
      </c>
      <c r="M40" s="166"/>
      <c r="N40" s="152"/>
      <c r="O40" s="152"/>
      <c r="P40" s="152"/>
      <c r="Q40" s="152"/>
      <c r="R40" s="152"/>
      <c r="S40" s="152"/>
      <c r="T40" s="152"/>
    </row>
    <row r="41" spans="1:20" ht="21" customHeight="1" x14ac:dyDescent="0.35">
      <c r="A41" s="142"/>
      <c r="B41" s="239" t="s">
        <v>312</v>
      </c>
      <c r="C41" s="161"/>
      <c r="D41" s="265"/>
      <c r="E41" s="252"/>
      <c r="F41" s="265"/>
      <c r="G41" s="252"/>
      <c r="H41" s="265"/>
      <c r="I41" s="252"/>
      <c r="J41" s="265"/>
      <c r="K41" s="252"/>
      <c r="L41" s="254">
        <f t="shared" si="1"/>
        <v>0</v>
      </c>
      <c r="M41" s="166"/>
      <c r="N41" s="152"/>
      <c r="O41" s="152"/>
      <c r="P41" s="152"/>
      <c r="Q41" s="152"/>
      <c r="R41" s="152"/>
      <c r="S41" s="152"/>
      <c r="T41" s="152"/>
    </row>
    <row r="42" spans="1:20" ht="21" customHeight="1" x14ac:dyDescent="0.35">
      <c r="A42" s="142"/>
      <c r="B42" s="239" t="s">
        <v>313</v>
      </c>
      <c r="C42" s="161"/>
      <c r="D42" s="253"/>
      <c r="E42" s="252"/>
      <c r="F42" s="253"/>
      <c r="G42" s="252"/>
      <c r="H42" s="253"/>
      <c r="I42" s="252"/>
      <c r="J42" s="253"/>
      <c r="K42" s="252"/>
      <c r="L42" s="254">
        <f t="shared" si="1"/>
        <v>0</v>
      </c>
      <c r="M42" s="166"/>
      <c r="N42" s="152"/>
      <c r="O42" s="152"/>
      <c r="P42" s="152"/>
      <c r="Q42" s="152"/>
      <c r="R42" s="152"/>
      <c r="S42" s="152"/>
      <c r="T42" s="152"/>
    </row>
    <row r="43" spans="1:20" ht="21" customHeight="1" x14ac:dyDescent="0.35">
      <c r="A43" s="142"/>
      <c r="B43" s="239" t="s">
        <v>314</v>
      </c>
      <c r="C43" s="161"/>
      <c r="D43" s="266"/>
      <c r="E43" s="252"/>
      <c r="F43" s="265"/>
      <c r="G43" s="252"/>
      <c r="H43" s="265"/>
      <c r="I43" s="252"/>
      <c r="J43" s="265"/>
      <c r="K43" s="252"/>
      <c r="L43" s="254">
        <f t="shared" si="1"/>
        <v>0</v>
      </c>
      <c r="N43" s="152"/>
      <c r="O43" s="152"/>
      <c r="P43" s="152"/>
      <c r="Q43" s="152"/>
      <c r="R43" s="152"/>
      <c r="S43" s="152"/>
      <c r="T43" s="152"/>
    </row>
    <row r="44" spans="1:20" ht="3.75" customHeight="1" thickBot="1" x14ac:dyDescent="0.4">
      <c r="A44" s="171"/>
      <c r="B44" s="159"/>
      <c r="C44" s="172"/>
      <c r="D44" s="255"/>
      <c r="E44" s="255"/>
      <c r="F44" s="267"/>
      <c r="G44" s="255"/>
      <c r="H44" s="267"/>
      <c r="I44" s="255"/>
      <c r="J44" s="267"/>
      <c r="K44" s="255"/>
      <c r="L44" s="256"/>
      <c r="N44" s="152"/>
      <c r="O44" s="152"/>
      <c r="P44" s="152"/>
      <c r="Q44" s="152"/>
      <c r="R44" s="152"/>
      <c r="S44" s="152"/>
      <c r="T44" s="152"/>
    </row>
    <row r="45" spans="1:20" ht="21.75" customHeight="1" x14ac:dyDescent="0.35">
      <c r="A45" s="142" t="s">
        <v>315</v>
      </c>
      <c r="B45" s="35" t="s">
        <v>316</v>
      </c>
      <c r="C45" s="161"/>
      <c r="D45" s="248">
        <f>SUM(D16:D43)</f>
        <v>0</v>
      </c>
      <c r="E45" s="249"/>
      <c r="F45" s="248">
        <f>SUM(F16:F43)</f>
        <v>0</v>
      </c>
      <c r="G45" s="249"/>
      <c r="H45" s="248">
        <f>SUM(H16:H43)</f>
        <v>0</v>
      </c>
      <c r="I45" s="249"/>
      <c r="J45" s="248">
        <f>SUM(J16:J43)</f>
        <v>0</v>
      </c>
      <c r="K45" s="249"/>
      <c r="L45" s="250">
        <f>SUM(L16:L43)</f>
        <v>0</v>
      </c>
      <c r="N45" s="152"/>
      <c r="O45" s="152"/>
      <c r="P45" s="152"/>
      <c r="Q45" s="152"/>
      <c r="R45" s="152"/>
      <c r="S45" s="152"/>
      <c r="T45" s="152"/>
    </row>
    <row r="46" spans="1:20" ht="27.75" customHeight="1" x14ac:dyDescent="0.35">
      <c r="A46" s="142" t="s">
        <v>317</v>
      </c>
      <c r="B46" s="35" t="s">
        <v>318</v>
      </c>
      <c r="C46" s="161"/>
      <c r="D46" s="248">
        <f>D13-D45</f>
        <v>0</v>
      </c>
      <c r="E46" s="249"/>
      <c r="F46" s="248">
        <f>F13-F45</f>
        <v>0</v>
      </c>
      <c r="G46" s="249"/>
      <c r="H46" s="248">
        <f>H13-H45</f>
        <v>0</v>
      </c>
      <c r="I46" s="249"/>
      <c r="J46" s="248">
        <f>J13-J45</f>
        <v>0</v>
      </c>
      <c r="K46" s="249"/>
      <c r="L46" s="250">
        <f>L13-L45</f>
        <v>0</v>
      </c>
      <c r="N46" s="152"/>
      <c r="O46" s="152"/>
      <c r="P46" s="152"/>
      <c r="Q46" s="152"/>
      <c r="R46" s="152"/>
      <c r="S46" s="152"/>
      <c r="T46" s="152"/>
    </row>
    <row r="47" spans="1:20" ht="15.5" x14ac:dyDescent="0.35">
      <c r="A47" s="142"/>
      <c r="B47" s="173" t="s">
        <v>319</v>
      </c>
      <c r="C47" s="163"/>
      <c r="D47" s="249"/>
      <c r="E47" s="249"/>
      <c r="F47" s="268"/>
      <c r="G47" s="249"/>
      <c r="H47" s="249"/>
      <c r="I47" s="249"/>
      <c r="J47" s="249"/>
      <c r="K47" s="249"/>
      <c r="L47" s="269" t="s">
        <v>320</v>
      </c>
      <c r="N47" s="152"/>
      <c r="O47" s="152"/>
      <c r="P47" s="152"/>
      <c r="Q47" s="152"/>
      <c r="R47" s="152"/>
      <c r="S47" s="152"/>
      <c r="T47" s="152"/>
    </row>
    <row r="48" spans="1:20" ht="18.75" customHeight="1" x14ac:dyDescent="0.35">
      <c r="A48" s="142" t="s">
        <v>321</v>
      </c>
      <c r="B48" s="35" t="s">
        <v>322</v>
      </c>
      <c r="C48" s="163"/>
      <c r="D48" s="251">
        <v>5000</v>
      </c>
      <c r="E48" s="252"/>
      <c r="F48" s="248">
        <f>D68</f>
        <v>5000</v>
      </c>
      <c r="G48" s="249"/>
      <c r="H48" s="248">
        <f>F68</f>
        <v>5000</v>
      </c>
      <c r="I48" s="249"/>
      <c r="J48" s="248">
        <f>H68</f>
        <v>5000</v>
      </c>
      <c r="K48" s="249"/>
      <c r="L48" s="250">
        <f>D48</f>
        <v>5000</v>
      </c>
      <c r="N48" s="152"/>
      <c r="O48" s="152"/>
      <c r="P48" s="152"/>
      <c r="Q48" s="152"/>
      <c r="R48" s="152"/>
      <c r="S48" s="152"/>
      <c r="T48" s="152"/>
    </row>
    <row r="49" spans="1:20" ht="15" customHeight="1" x14ac:dyDescent="0.35">
      <c r="A49" s="142"/>
      <c r="B49" s="162"/>
      <c r="C49" s="163"/>
      <c r="D49" s="249"/>
      <c r="E49" s="249"/>
      <c r="F49" s="249"/>
      <c r="G49" s="249"/>
      <c r="H49" s="249"/>
      <c r="I49" s="249"/>
      <c r="J49" s="249"/>
      <c r="K49" s="249"/>
      <c r="L49" s="269" t="s">
        <v>323</v>
      </c>
      <c r="N49" s="152"/>
      <c r="O49" s="152"/>
      <c r="P49" s="152"/>
      <c r="Q49" s="152"/>
      <c r="R49" s="152"/>
      <c r="S49" s="152"/>
      <c r="T49" s="152"/>
    </row>
    <row r="50" spans="1:20" ht="19.5" customHeight="1" x14ac:dyDescent="0.35">
      <c r="A50" s="142" t="s">
        <v>324</v>
      </c>
      <c r="B50" s="35" t="s">
        <v>325</v>
      </c>
      <c r="C50" s="163"/>
      <c r="D50" s="248">
        <f>D46+D48</f>
        <v>5000</v>
      </c>
      <c r="E50" s="249"/>
      <c r="F50" s="248">
        <f>F46+F48</f>
        <v>5000</v>
      </c>
      <c r="G50" s="249"/>
      <c r="H50" s="248">
        <f>H46+H48</f>
        <v>5000</v>
      </c>
      <c r="I50" s="249"/>
      <c r="J50" s="248">
        <f>J46+J48</f>
        <v>5000</v>
      </c>
      <c r="K50" s="249"/>
      <c r="L50" s="250">
        <f>L46+L48</f>
        <v>5000</v>
      </c>
      <c r="N50" s="152"/>
      <c r="O50" s="152"/>
      <c r="P50" s="152"/>
      <c r="Q50" s="152"/>
      <c r="R50" s="152"/>
      <c r="S50" s="152"/>
      <c r="T50" s="152"/>
    </row>
    <row r="51" spans="1:20" ht="15.5" x14ac:dyDescent="0.35">
      <c r="A51" s="142"/>
      <c r="B51" s="173" t="s">
        <v>326</v>
      </c>
      <c r="C51" s="163"/>
      <c r="D51" s="249"/>
      <c r="E51" s="249"/>
      <c r="F51" s="249"/>
      <c r="G51" s="249"/>
      <c r="H51" s="249"/>
      <c r="I51" s="249"/>
      <c r="J51" s="249"/>
      <c r="K51" s="249"/>
      <c r="L51" s="269" t="s">
        <v>327</v>
      </c>
      <c r="N51" s="152"/>
      <c r="O51" s="152"/>
      <c r="P51" s="152"/>
      <c r="Q51" s="152"/>
      <c r="R51" s="152"/>
      <c r="S51" s="152"/>
      <c r="T51" s="152"/>
    </row>
    <row r="52" spans="1:20" ht="15.5" x14ac:dyDescent="0.35">
      <c r="A52" s="142" t="s">
        <v>328</v>
      </c>
      <c r="B52" s="35" t="s">
        <v>329</v>
      </c>
      <c r="C52" s="163"/>
      <c r="D52" s="251">
        <v>1000</v>
      </c>
      <c r="E52" s="252"/>
      <c r="F52" s="248">
        <f>D52</f>
        <v>1000</v>
      </c>
      <c r="G52" s="249"/>
      <c r="H52" s="248">
        <f>F52</f>
        <v>1000</v>
      </c>
      <c r="I52" s="249"/>
      <c r="J52" s="248">
        <f>H52</f>
        <v>1000</v>
      </c>
      <c r="K52" s="249"/>
      <c r="L52" s="270"/>
      <c r="N52" s="152"/>
      <c r="O52" s="152"/>
      <c r="P52" s="152"/>
      <c r="Q52" s="152"/>
      <c r="R52" s="152"/>
      <c r="S52" s="152"/>
      <c r="T52" s="152"/>
    </row>
    <row r="53" spans="1:20" ht="15" customHeight="1" x14ac:dyDescent="0.35">
      <c r="A53" s="142"/>
      <c r="B53" s="162"/>
      <c r="C53" s="163"/>
      <c r="D53" s="249"/>
      <c r="E53" s="249"/>
      <c r="F53" s="249"/>
      <c r="G53" s="249"/>
      <c r="H53" s="249"/>
      <c r="I53" s="249"/>
      <c r="J53" s="249"/>
      <c r="K53" s="249"/>
      <c r="L53" s="270"/>
      <c r="N53" s="152"/>
      <c r="O53" s="152"/>
      <c r="P53" s="152"/>
      <c r="Q53" s="152"/>
      <c r="R53" s="152"/>
      <c r="S53" s="152"/>
      <c r="T53" s="152"/>
    </row>
    <row r="54" spans="1:20" ht="15.5" x14ac:dyDescent="0.35">
      <c r="A54" s="142" t="s">
        <v>330</v>
      </c>
      <c r="B54" s="35" t="s">
        <v>331</v>
      </c>
      <c r="C54" s="163"/>
      <c r="D54" s="248">
        <f>IF(D50&gt;D52,D50-D52,0)</f>
        <v>4000</v>
      </c>
      <c r="E54" s="249"/>
      <c r="F54" s="248">
        <f>IF(F50&gt;F52,F50-F52,0)</f>
        <v>4000</v>
      </c>
      <c r="G54" s="249"/>
      <c r="H54" s="248">
        <f>IF(H50&gt;H52,H50-H52,0)</f>
        <v>4000</v>
      </c>
      <c r="I54" s="249"/>
      <c r="J54" s="248">
        <f>IF(J50&gt;J52,J50-J52,0)</f>
        <v>4000</v>
      </c>
      <c r="K54" s="249"/>
      <c r="L54" s="270"/>
      <c r="N54" s="152"/>
      <c r="O54" s="152"/>
      <c r="P54" s="152"/>
      <c r="Q54" s="152"/>
      <c r="R54" s="152"/>
      <c r="S54" s="152"/>
      <c r="T54" s="152"/>
    </row>
    <row r="55" spans="1:20" ht="15" customHeight="1" x14ac:dyDescent="0.35">
      <c r="A55" s="142"/>
      <c r="B55" s="173" t="s">
        <v>332</v>
      </c>
      <c r="C55" s="163"/>
      <c r="D55" s="249"/>
      <c r="E55" s="249"/>
      <c r="F55" s="249"/>
      <c r="G55" s="249"/>
      <c r="H55" s="249"/>
      <c r="I55" s="249"/>
      <c r="J55" s="249"/>
      <c r="K55" s="249"/>
      <c r="L55" s="270"/>
      <c r="N55" s="152"/>
      <c r="O55" s="152"/>
      <c r="P55" s="152"/>
      <c r="Q55" s="152"/>
      <c r="R55" s="152"/>
      <c r="S55" s="152"/>
      <c r="T55" s="152"/>
    </row>
    <row r="56" spans="1:20" ht="15.75" customHeight="1" x14ac:dyDescent="0.35">
      <c r="A56" s="142" t="s">
        <v>333</v>
      </c>
      <c r="B56" s="35" t="s">
        <v>334</v>
      </c>
      <c r="C56" s="174">
        <v>0.08</v>
      </c>
      <c r="D56" s="248">
        <f>IF(D52&gt;D50,D52-D50,0)</f>
        <v>0</v>
      </c>
      <c r="E56" s="249"/>
      <c r="F56" s="248">
        <f>IF(F52&gt;F50,F52-F50,0)</f>
        <v>0</v>
      </c>
      <c r="G56" s="249"/>
      <c r="H56" s="248">
        <f>IF(H52&gt;H50,H52-H50,0)</f>
        <v>0</v>
      </c>
      <c r="I56" s="249"/>
      <c r="J56" s="248">
        <f>IF(J52&gt;J50,J52-J50,0)</f>
        <v>0</v>
      </c>
      <c r="K56" s="249"/>
      <c r="L56" s="250">
        <f>SUM(D56:J56)</f>
        <v>0</v>
      </c>
      <c r="N56" s="152"/>
      <c r="O56" s="152"/>
      <c r="P56" s="152"/>
      <c r="Q56" s="152"/>
      <c r="R56" s="152"/>
      <c r="S56" s="152"/>
      <c r="T56" s="152"/>
    </row>
    <row r="57" spans="1:20" ht="18" customHeight="1" x14ac:dyDescent="0.35">
      <c r="A57" s="142"/>
      <c r="B57" s="173" t="s">
        <v>335</v>
      </c>
      <c r="C57" s="162"/>
      <c r="D57" s="271"/>
      <c r="E57" s="249"/>
      <c r="F57" s="249"/>
      <c r="G57" s="249"/>
      <c r="H57" s="249"/>
      <c r="I57" s="249"/>
      <c r="J57" s="249"/>
      <c r="K57" s="249"/>
      <c r="L57" s="272" t="s">
        <v>336</v>
      </c>
      <c r="N57" s="152"/>
      <c r="O57" s="152"/>
      <c r="P57" s="152"/>
      <c r="Q57" s="152"/>
      <c r="R57" s="152"/>
      <c r="S57" s="152"/>
      <c r="T57" s="152"/>
    </row>
    <row r="58" spans="1:20" ht="15.5" x14ac:dyDescent="0.35">
      <c r="A58" s="142" t="s">
        <v>337</v>
      </c>
      <c r="B58" s="35" t="s">
        <v>338</v>
      </c>
      <c r="C58" s="280">
        <v>0</v>
      </c>
      <c r="D58" s="273">
        <f>C58+D56</f>
        <v>0</v>
      </c>
      <c r="E58" s="249"/>
      <c r="F58" s="248">
        <f>D58-D66+F56</f>
        <v>0</v>
      </c>
      <c r="G58" s="249"/>
      <c r="H58" s="248">
        <f>F58-F66+H56</f>
        <v>0</v>
      </c>
      <c r="I58" s="249"/>
      <c r="J58" s="248">
        <f>H58-H66+J56</f>
        <v>0</v>
      </c>
      <c r="K58" s="249"/>
      <c r="L58" s="274">
        <f>J58-J66</f>
        <v>0</v>
      </c>
      <c r="N58" s="152"/>
      <c r="O58" s="152"/>
      <c r="P58" s="152"/>
      <c r="Q58" s="152"/>
      <c r="R58" s="152"/>
      <c r="S58" s="152"/>
      <c r="T58" s="152"/>
    </row>
    <row r="59" spans="1:20" ht="23.25" customHeight="1" x14ac:dyDescent="0.35">
      <c r="A59" s="142"/>
      <c r="B59" s="364" t="s">
        <v>339</v>
      </c>
      <c r="C59" s="365"/>
      <c r="D59" s="275"/>
      <c r="E59" s="249"/>
      <c r="F59" s="249"/>
      <c r="G59" s="249"/>
      <c r="H59" s="249"/>
      <c r="I59" s="249"/>
      <c r="J59" s="249"/>
      <c r="K59" s="249"/>
      <c r="L59" s="272" t="s">
        <v>340</v>
      </c>
      <c r="N59" s="152"/>
      <c r="O59" s="152"/>
      <c r="P59" s="152"/>
      <c r="Q59" s="152"/>
      <c r="R59" s="152"/>
      <c r="S59" s="152"/>
      <c r="T59" s="152"/>
    </row>
    <row r="60" spans="1:20" ht="15.5" x14ac:dyDescent="0.35">
      <c r="A60" s="142" t="s">
        <v>341</v>
      </c>
      <c r="B60" s="35" t="s">
        <v>342</v>
      </c>
      <c r="C60" s="280">
        <v>0</v>
      </c>
      <c r="D60" s="276">
        <f>D58*$C$56/4+C60</f>
        <v>0</v>
      </c>
      <c r="E60" s="277"/>
      <c r="F60" s="278">
        <f>F58*$C$56/4+D60-D62</f>
        <v>0</v>
      </c>
      <c r="G60" s="277"/>
      <c r="H60" s="278">
        <f>H58*$C$56/4+F60-F62</f>
        <v>0</v>
      </c>
      <c r="I60" s="277"/>
      <c r="J60" s="278">
        <f>J58*$C$56/4+H60-H62</f>
        <v>0</v>
      </c>
      <c r="K60" s="277"/>
      <c r="L60" s="274">
        <f>J60-J62</f>
        <v>0</v>
      </c>
      <c r="N60" s="152"/>
      <c r="O60" s="152"/>
      <c r="P60" s="152"/>
      <c r="Q60" s="152"/>
      <c r="R60" s="152"/>
      <c r="S60" s="152"/>
      <c r="T60" s="152"/>
    </row>
    <row r="61" spans="1:20" ht="22.5" customHeight="1" x14ac:dyDescent="0.35">
      <c r="A61" s="142"/>
      <c r="B61" s="40" t="s">
        <v>343</v>
      </c>
      <c r="C61" s="162"/>
      <c r="D61" s="275"/>
      <c r="E61" s="249"/>
      <c r="F61" s="249"/>
      <c r="G61" s="249"/>
      <c r="H61" s="249"/>
      <c r="I61" s="249"/>
      <c r="J61" s="249"/>
      <c r="K61" s="249"/>
      <c r="L61" s="272" t="s">
        <v>344</v>
      </c>
      <c r="N61" s="152"/>
      <c r="O61" s="152"/>
      <c r="P61" s="152"/>
      <c r="Q61" s="152"/>
      <c r="R61" s="152"/>
      <c r="S61" s="152"/>
      <c r="T61" s="152"/>
    </row>
    <row r="62" spans="1:20" ht="15.5" x14ac:dyDescent="0.35">
      <c r="A62" s="142" t="s">
        <v>345</v>
      </c>
      <c r="B62" s="35" t="s">
        <v>346</v>
      </c>
      <c r="C62" s="175"/>
      <c r="D62" s="248">
        <f>IF(D54&gt;D60,D60,D54)</f>
        <v>0</v>
      </c>
      <c r="E62" s="249"/>
      <c r="F62" s="248">
        <f>IF(F54&gt;F60,F60,F54)</f>
        <v>0</v>
      </c>
      <c r="G62" s="249"/>
      <c r="H62" s="248">
        <f>IF(H54&gt;H60,H60,H54)</f>
        <v>0</v>
      </c>
      <c r="I62" s="249"/>
      <c r="J62" s="248">
        <f>IF(J54&gt;J60,J60,J54)</f>
        <v>0</v>
      </c>
      <c r="K62" s="249"/>
      <c r="L62" s="250">
        <f>SUM(D62:J62)</f>
        <v>0</v>
      </c>
      <c r="N62" s="152"/>
      <c r="O62" s="152"/>
      <c r="P62" s="152"/>
      <c r="Q62" s="152"/>
      <c r="R62" s="152"/>
      <c r="S62" s="152"/>
      <c r="T62" s="152"/>
    </row>
    <row r="63" spans="1:20" ht="15" customHeight="1" x14ac:dyDescent="0.35">
      <c r="A63" s="142"/>
      <c r="B63" s="173" t="s">
        <v>347</v>
      </c>
      <c r="C63" s="176"/>
      <c r="D63" s="249"/>
      <c r="E63" s="249"/>
      <c r="F63" s="249"/>
      <c r="G63" s="249"/>
      <c r="H63" s="249"/>
      <c r="I63" s="249"/>
      <c r="J63" s="249"/>
      <c r="K63" s="249"/>
      <c r="L63" s="272" t="s">
        <v>348</v>
      </c>
      <c r="N63" s="152"/>
      <c r="O63" s="152"/>
      <c r="P63" s="152"/>
      <c r="Q63" s="152"/>
      <c r="R63" s="152"/>
      <c r="S63" s="152"/>
      <c r="T63" s="152"/>
    </row>
    <row r="64" spans="1:20" ht="15.5" x14ac:dyDescent="0.35">
      <c r="A64" s="142" t="s">
        <v>349</v>
      </c>
      <c r="B64" s="35" t="s">
        <v>350</v>
      </c>
      <c r="C64" s="163"/>
      <c r="D64" s="248">
        <f>D54-D62</f>
        <v>4000</v>
      </c>
      <c r="E64" s="252"/>
      <c r="F64" s="248">
        <f>F54-F62</f>
        <v>4000</v>
      </c>
      <c r="G64" s="252"/>
      <c r="H64" s="248">
        <f>H54-H62</f>
        <v>4000</v>
      </c>
      <c r="I64" s="252"/>
      <c r="J64" s="248">
        <f>J54-J62</f>
        <v>4000</v>
      </c>
      <c r="K64" s="277"/>
      <c r="L64" s="279"/>
      <c r="N64" s="240"/>
      <c r="O64" s="152"/>
      <c r="P64" s="152"/>
      <c r="Q64" s="152"/>
      <c r="R64" s="152"/>
      <c r="S64" s="152"/>
      <c r="T64" s="152"/>
    </row>
    <row r="65" spans="1:14" ht="15" customHeight="1" x14ac:dyDescent="0.35">
      <c r="A65" s="142"/>
      <c r="B65" s="173" t="s">
        <v>351</v>
      </c>
      <c r="C65" s="163"/>
      <c r="D65" s="249"/>
      <c r="E65" s="249"/>
      <c r="F65" s="249"/>
      <c r="G65" s="249"/>
      <c r="H65" s="249"/>
      <c r="I65" s="249"/>
      <c r="J65" s="249"/>
      <c r="K65" s="249"/>
      <c r="L65" s="270"/>
      <c r="N65" s="241"/>
    </row>
    <row r="66" spans="1:14" ht="15.5" x14ac:dyDescent="0.35">
      <c r="A66" s="142" t="s">
        <v>352</v>
      </c>
      <c r="B66" s="35" t="s">
        <v>353</v>
      </c>
      <c r="C66" s="163"/>
      <c r="D66" s="248">
        <f>IF(D64&gt;D58,D58,D64)</f>
        <v>0</v>
      </c>
      <c r="E66" s="249"/>
      <c r="F66" s="248">
        <f>IF(F64&gt;F58,F58,F64)</f>
        <v>0</v>
      </c>
      <c r="G66" s="249"/>
      <c r="H66" s="248">
        <f>IF(H64&gt;H58,H58,H64)</f>
        <v>0</v>
      </c>
      <c r="I66" s="249"/>
      <c r="J66" s="248">
        <f>IF(J64&gt;J58,J58,J64)</f>
        <v>0</v>
      </c>
      <c r="K66" s="249"/>
      <c r="L66" s="250">
        <f>SUM(D66:J66)</f>
        <v>0</v>
      </c>
      <c r="N66" s="366"/>
    </row>
    <row r="67" spans="1:14" ht="13" x14ac:dyDescent="0.3">
      <c r="A67" s="142"/>
      <c r="B67" s="173" t="s">
        <v>354</v>
      </c>
      <c r="C67" s="163"/>
      <c r="D67" s="257"/>
      <c r="E67" s="257"/>
      <c r="F67" s="257"/>
      <c r="G67" s="257"/>
      <c r="H67" s="257"/>
      <c r="I67" s="257"/>
      <c r="J67" s="257"/>
      <c r="K67" s="257"/>
      <c r="L67" s="272" t="s">
        <v>355</v>
      </c>
      <c r="N67" s="366"/>
    </row>
    <row r="68" spans="1:14" ht="15.5" x14ac:dyDescent="0.35">
      <c r="A68" s="142" t="s">
        <v>356</v>
      </c>
      <c r="B68" s="35" t="s">
        <v>357</v>
      </c>
      <c r="C68" s="175"/>
      <c r="D68" s="248">
        <f>D50+D56-D62-D66</f>
        <v>5000</v>
      </c>
      <c r="E68" s="249"/>
      <c r="F68" s="248">
        <f>F50+F56-F62-F66</f>
        <v>5000</v>
      </c>
      <c r="G68" s="249"/>
      <c r="H68" s="248">
        <f>H50+H56-H62-H66</f>
        <v>5000</v>
      </c>
      <c r="I68" s="249"/>
      <c r="J68" s="248">
        <f>J50+J56-J62-J66</f>
        <v>5000</v>
      </c>
      <c r="K68" s="249"/>
      <c r="L68" s="250">
        <f>L50+L56-L62-L66</f>
        <v>5000</v>
      </c>
      <c r="N68" s="242"/>
    </row>
    <row r="69" spans="1:14" ht="13" thickBot="1" x14ac:dyDescent="0.3">
      <c r="A69" s="177"/>
      <c r="B69" s="178" t="s">
        <v>358</v>
      </c>
      <c r="C69" s="179"/>
      <c r="D69" s="180"/>
      <c r="E69" s="180"/>
      <c r="F69" s="180"/>
      <c r="G69" s="180"/>
      <c r="H69" s="180"/>
      <c r="I69" s="180"/>
      <c r="J69" s="180"/>
      <c r="K69" s="180"/>
      <c r="L69" s="181" t="s">
        <v>359</v>
      </c>
      <c r="N69" s="241"/>
    </row>
  </sheetData>
  <mergeCells count="4">
    <mergeCell ref="A1:L1"/>
    <mergeCell ref="A3:B3"/>
    <mergeCell ref="B59:C59"/>
    <mergeCell ref="N66:N67"/>
  </mergeCells>
  <printOptions horizontalCentered="1"/>
  <pageMargins left="0.75" right="0.75" top="0.75" bottom="0.75" header="0" footer="0"/>
  <pageSetup scale="5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J69"/>
  <sheetViews>
    <sheetView showGridLines="0" topLeftCell="A25" zoomScale="75" zoomScaleNormal="75" workbookViewId="0">
      <selection activeCell="F3" sqref="F3"/>
    </sheetView>
  </sheetViews>
  <sheetFormatPr defaultColWidth="9.1796875" defaultRowHeight="12.5" x14ac:dyDescent="0.25"/>
  <cols>
    <col min="1" max="1" width="2.81640625" style="133" customWidth="1"/>
    <col min="2" max="2" width="51.81640625" style="133" customWidth="1"/>
    <col min="3" max="3" width="14.7265625" style="133" customWidth="1"/>
    <col min="4" max="4" width="18.7265625" style="133" customWidth="1"/>
    <col min="5" max="5" width="2.81640625" style="133" customWidth="1"/>
    <col min="6" max="6" width="18.7265625" style="133" customWidth="1"/>
    <col min="7" max="7" width="2.81640625" style="133" customWidth="1"/>
    <col min="8" max="8" width="18.7265625" style="133" customWidth="1"/>
    <col min="9" max="9" width="2.81640625" style="133" customWidth="1"/>
    <col min="10" max="10" width="18.7265625" style="133" customWidth="1"/>
    <col min="11" max="11" width="2.81640625" style="133" customWidth="1"/>
    <col min="12" max="12" width="18.7265625" style="133" customWidth="1"/>
    <col min="13" max="13" width="2.81640625" style="133" customWidth="1"/>
    <col min="14" max="14" width="18.7265625" style="133" customWidth="1"/>
    <col min="15" max="15" width="2.81640625" style="133" customWidth="1"/>
    <col min="16" max="16" width="18.7265625" style="133" customWidth="1"/>
    <col min="17" max="17" width="2.81640625" style="133" customWidth="1"/>
    <col min="18" max="18" width="18.7265625" style="133" customWidth="1"/>
    <col min="19" max="19" width="2.81640625" style="133" customWidth="1"/>
    <col min="20" max="20" width="18.7265625" style="133" customWidth="1"/>
    <col min="21" max="21" width="2.81640625" style="133" customWidth="1"/>
    <col min="22" max="22" width="18.7265625" style="133" customWidth="1"/>
    <col min="23" max="23" width="2.81640625" style="133" customWidth="1"/>
    <col min="24" max="24" width="18.7265625" style="133" customWidth="1"/>
    <col min="25" max="25" width="2.81640625" style="133" customWidth="1"/>
    <col min="26" max="26" width="18.7265625" style="133" customWidth="1"/>
    <col min="27" max="27" width="2.81640625" style="133" customWidth="1"/>
    <col min="28" max="28" width="18.7265625" style="133" customWidth="1"/>
    <col min="29" max="29" width="9.1796875" style="133"/>
    <col min="30" max="31" width="9.26953125" style="133" bestFit="1" customWidth="1"/>
    <col min="32" max="32" width="11.453125" style="133" bestFit="1" customWidth="1"/>
    <col min="33" max="34" width="9.26953125" style="133" bestFit="1" customWidth="1"/>
    <col min="35" max="16384" width="9.1796875" style="133"/>
  </cols>
  <sheetData>
    <row r="1" spans="1:36" ht="23" x14ac:dyDescent="0.5">
      <c r="A1" s="359" t="s">
        <v>269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1"/>
    </row>
    <row r="2" spans="1:36" ht="24.75" customHeight="1" x14ac:dyDescent="0.25">
      <c r="A2" s="134"/>
      <c r="B2" s="135"/>
      <c r="C2" s="135"/>
      <c r="D2" s="136" t="s">
        <v>270</v>
      </c>
      <c r="E2" s="135"/>
      <c r="F2" s="137">
        <v>2020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8"/>
    </row>
    <row r="3" spans="1:36" ht="20.149999999999999" customHeight="1" x14ac:dyDescent="0.4">
      <c r="A3" s="362" t="s">
        <v>271</v>
      </c>
      <c r="B3" s="363"/>
      <c r="C3" s="139"/>
      <c r="D3" s="140" t="s">
        <v>360</v>
      </c>
      <c r="E3" s="140"/>
      <c r="F3" s="140" t="s">
        <v>361</v>
      </c>
      <c r="G3" s="140"/>
      <c r="H3" s="140" t="s">
        <v>362</v>
      </c>
      <c r="I3" s="140"/>
      <c r="J3" s="140" t="s">
        <v>363</v>
      </c>
      <c r="K3" s="140"/>
      <c r="L3" s="140" t="s">
        <v>364</v>
      </c>
      <c r="M3" s="140"/>
      <c r="N3" s="140" t="s">
        <v>365</v>
      </c>
      <c r="O3" s="140"/>
      <c r="P3" s="140" t="s">
        <v>366</v>
      </c>
      <c r="Q3" s="140"/>
      <c r="R3" s="140" t="s">
        <v>367</v>
      </c>
      <c r="S3" s="140"/>
      <c r="T3" s="140" t="s">
        <v>368</v>
      </c>
      <c r="U3" s="140"/>
      <c r="V3" s="140" t="s">
        <v>369</v>
      </c>
      <c r="W3" s="140"/>
      <c r="X3" s="140" t="s">
        <v>370</v>
      </c>
      <c r="Y3" s="140"/>
      <c r="Z3" s="140" t="s">
        <v>371</v>
      </c>
      <c r="AA3" s="140"/>
      <c r="AB3" s="141" t="s">
        <v>268</v>
      </c>
    </row>
    <row r="4" spans="1:36" ht="9.75" customHeight="1" x14ac:dyDescent="0.3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</row>
    <row r="5" spans="1:36" ht="20.149999999999999" customHeight="1" x14ac:dyDescent="0.4">
      <c r="A5" s="147"/>
      <c r="B5" s="148" t="s">
        <v>276</v>
      </c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D5" s="152"/>
      <c r="AE5" s="152"/>
      <c r="AF5" s="152"/>
      <c r="AG5" s="152"/>
      <c r="AH5" s="152"/>
      <c r="AI5" s="152"/>
      <c r="AJ5" s="152"/>
    </row>
    <row r="6" spans="1:36" ht="21" customHeight="1" x14ac:dyDescent="0.35">
      <c r="A6" s="142"/>
      <c r="B6" s="153" t="s">
        <v>277</v>
      </c>
      <c r="C6" s="154"/>
      <c r="D6" s="251"/>
      <c r="E6" s="252"/>
      <c r="F6" s="251"/>
      <c r="G6" s="252"/>
      <c r="H6" s="251"/>
      <c r="I6" s="252"/>
      <c r="J6" s="251"/>
      <c r="K6" s="252"/>
      <c r="L6" s="251"/>
      <c r="M6" s="252"/>
      <c r="N6" s="251"/>
      <c r="O6" s="252"/>
      <c r="P6" s="251"/>
      <c r="Q6" s="252"/>
      <c r="R6" s="251"/>
      <c r="S6" s="252"/>
      <c r="T6" s="251"/>
      <c r="U6" s="252"/>
      <c r="V6" s="251"/>
      <c r="W6" s="252"/>
      <c r="X6" s="251"/>
      <c r="Y6" s="252"/>
      <c r="Z6" s="251"/>
      <c r="AA6" s="252"/>
      <c r="AB6" s="250">
        <f t="shared" ref="AB6:AB11" si="0">SUM(D6:Z6)</f>
        <v>0</v>
      </c>
      <c r="AD6" s="152"/>
      <c r="AE6" s="155"/>
      <c r="AF6" s="155"/>
      <c r="AG6" s="155"/>
      <c r="AH6" s="155"/>
      <c r="AI6" s="152"/>
      <c r="AJ6" s="152"/>
    </row>
    <row r="7" spans="1:36" ht="21" customHeight="1" x14ac:dyDescent="0.35">
      <c r="A7" s="142"/>
      <c r="B7" s="153" t="s">
        <v>278</v>
      </c>
      <c r="C7" s="156"/>
      <c r="D7" s="253"/>
      <c r="E7" s="252"/>
      <c r="F7" s="253"/>
      <c r="G7" s="252"/>
      <c r="H7" s="253"/>
      <c r="I7" s="252"/>
      <c r="J7" s="253"/>
      <c r="K7" s="252"/>
      <c r="L7" s="253"/>
      <c r="M7" s="252"/>
      <c r="N7" s="253"/>
      <c r="O7" s="252"/>
      <c r="P7" s="253"/>
      <c r="Q7" s="252"/>
      <c r="R7" s="253"/>
      <c r="S7" s="252"/>
      <c r="T7" s="253"/>
      <c r="U7" s="252"/>
      <c r="V7" s="253"/>
      <c r="W7" s="252"/>
      <c r="X7" s="253"/>
      <c r="Y7" s="252"/>
      <c r="Z7" s="253"/>
      <c r="AA7" s="252"/>
      <c r="AB7" s="254">
        <f t="shared" si="0"/>
        <v>0</v>
      </c>
      <c r="AD7" s="152"/>
      <c r="AE7" s="155"/>
      <c r="AF7" s="155"/>
      <c r="AG7" s="155"/>
      <c r="AH7" s="155"/>
      <c r="AI7" s="152"/>
      <c r="AJ7" s="152"/>
    </row>
    <row r="8" spans="1:36" ht="21" customHeight="1" x14ac:dyDescent="0.35">
      <c r="A8" s="142"/>
      <c r="B8" s="153" t="s">
        <v>279</v>
      </c>
      <c r="C8" s="156"/>
      <c r="D8" s="253"/>
      <c r="E8" s="252"/>
      <c r="F8" s="253"/>
      <c r="G8" s="252"/>
      <c r="H8" s="253"/>
      <c r="I8" s="252"/>
      <c r="J8" s="253"/>
      <c r="K8" s="252"/>
      <c r="L8" s="253"/>
      <c r="M8" s="252"/>
      <c r="N8" s="253"/>
      <c r="O8" s="252"/>
      <c r="P8" s="253"/>
      <c r="Q8" s="252"/>
      <c r="R8" s="253"/>
      <c r="S8" s="252"/>
      <c r="T8" s="253"/>
      <c r="U8" s="252"/>
      <c r="V8" s="253"/>
      <c r="W8" s="252"/>
      <c r="X8" s="253"/>
      <c r="Y8" s="252"/>
      <c r="Z8" s="253"/>
      <c r="AA8" s="252"/>
      <c r="AB8" s="254">
        <f t="shared" si="0"/>
        <v>0</v>
      </c>
      <c r="AD8" s="152"/>
      <c r="AE8" s="155"/>
      <c r="AF8" s="155"/>
      <c r="AG8" s="155"/>
      <c r="AH8" s="155"/>
      <c r="AI8" s="152"/>
      <c r="AJ8" s="152"/>
    </row>
    <row r="9" spans="1:36" ht="21" customHeight="1" x14ac:dyDescent="0.35">
      <c r="A9" s="142"/>
      <c r="B9" s="157" t="s">
        <v>280</v>
      </c>
      <c r="C9" s="156"/>
      <c r="D9" s="253"/>
      <c r="E9" s="252"/>
      <c r="F9" s="253"/>
      <c r="G9" s="252"/>
      <c r="H9" s="253"/>
      <c r="I9" s="252"/>
      <c r="J9" s="253"/>
      <c r="K9" s="252"/>
      <c r="L9" s="253"/>
      <c r="M9" s="252"/>
      <c r="N9" s="253"/>
      <c r="O9" s="252"/>
      <c r="P9" s="253"/>
      <c r="Q9" s="252"/>
      <c r="R9" s="253"/>
      <c r="S9" s="252"/>
      <c r="T9" s="253"/>
      <c r="U9" s="252"/>
      <c r="V9" s="253"/>
      <c r="W9" s="252"/>
      <c r="X9" s="253"/>
      <c r="Y9" s="252"/>
      <c r="Z9" s="253"/>
      <c r="AA9" s="252"/>
      <c r="AB9" s="254">
        <f t="shared" si="0"/>
        <v>0</v>
      </c>
      <c r="AD9" s="152"/>
      <c r="AE9" s="155"/>
      <c r="AF9" s="155"/>
      <c r="AG9" s="155"/>
      <c r="AH9" s="155"/>
      <c r="AI9" s="152"/>
      <c r="AJ9" s="152"/>
    </row>
    <row r="10" spans="1:36" ht="21" customHeight="1" x14ac:dyDescent="0.35">
      <c r="A10" s="142"/>
      <c r="B10" s="157" t="s">
        <v>281</v>
      </c>
      <c r="C10" s="156"/>
      <c r="D10" s="253"/>
      <c r="E10" s="252"/>
      <c r="F10" s="253"/>
      <c r="G10" s="252"/>
      <c r="H10" s="253"/>
      <c r="I10" s="252"/>
      <c r="J10" s="253"/>
      <c r="K10" s="252"/>
      <c r="L10" s="253"/>
      <c r="M10" s="252"/>
      <c r="N10" s="253"/>
      <c r="O10" s="252"/>
      <c r="P10" s="253"/>
      <c r="Q10" s="252"/>
      <c r="R10" s="253"/>
      <c r="S10" s="252"/>
      <c r="T10" s="253"/>
      <c r="U10" s="252"/>
      <c r="V10" s="253"/>
      <c r="W10" s="252"/>
      <c r="X10" s="253"/>
      <c r="Y10" s="252"/>
      <c r="Z10" s="253"/>
      <c r="AA10" s="252"/>
      <c r="AB10" s="254">
        <f t="shared" si="0"/>
        <v>0</v>
      </c>
      <c r="AD10" s="152"/>
      <c r="AE10" s="155"/>
      <c r="AF10" s="155"/>
      <c r="AG10" s="155"/>
      <c r="AH10" s="155"/>
      <c r="AI10" s="152"/>
      <c r="AJ10" s="152"/>
    </row>
    <row r="11" spans="1:36" ht="21" customHeight="1" x14ac:dyDescent="0.35">
      <c r="A11" s="142"/>
      <c r="B11" s="157" t="s">
        <v>282</v>
      </c>
      <c r="C11" s="156"/>
      <c r="D11" s="253"/>
      <c r="E11" s="252"/>
      <c r="F11" s="253"/>
      <c r="G11" s="252"/>
      <c r="H11" s="253"/>
      <c r="I11" s="252"/>
      <c r="J11" s="253"/>
      <c r="K11" s="252"/>
      <c r="L11" s="253"/>
      <c r="M11" s="252"/>
      <c r="N11" s="253"/>
      <c r="O11" s="252"/>
      <c r="P11" s="253"/>
      <c r="Q11" s="252"/>
      <c r="R11" s="253"/>
      <c r="S11" s="252"/>
      <c r="T11" s="253"/>
      <c r="U11" s="252"/>
      <c r="V11" s="253"/>
      <c r="W11" s="252"/>
      <c r="X11" s="253"/>
      <c r="Y11" s="252"/>
      <c r="Z11" s="253"/>
      <c r="AA11" s="252"/>
      <c r="AB11" s="254">
        <f t="shared" si="0"/>
        <v>0</v>
      </c>
      <c r="AD11" s="152"/>
      <c r="AE11" s="155"/>
      <c r="AF11" s="155"/>
      <c r="AG11" s="155"/>
      <c r="AH11" s="155"/>
      <c r="AI11" s="152"/>
      <c r="AJ11" s="152"/>
    </row>
    <row r="12" spans="1:36" ht="6" customHeight="1" thickBot="1" x14ac:dyDescent="0.4">
      <c r="A12" s="158"/>
      <c r="B12" s="159"/>
      <c r="C12" s="160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6"/>
      <c r="AD12" s="152"/>
      <c r="AE12" s="155"/>
      <c r="AF12" s="155"/>
      <c r="AG12" s="155"/>
      <c r="AH12" s="155"/>
      <c r="AI12" s="152"/>
      <c r="AJ12" s="152"/>
    </row>
    <row r="13" spans="1:36" ht="21" customHeight="1" x14ac:dyDescent="0.35">
      <c r="A13" s="142" t="s">
        <v>283</v>
      </c>
      <c r="B13" s="35" t="s">
        <v>284</v>
      </c>
      <c r="C13" s="161"/>
      <c r="D13" s="248">
        <f>SUM(D6:D11)</f>
        <v>0</v>
      </c>
      <c r="E13" s="249"/>
      <c r="F13" s="248">
        <f>SUM(F6:F11)</f>
        <v>0</v>
      </c>
      <c r="G13" s="249"/>
      <c r="H13" s="248">
        <f>SUM(H6:H11)</f>
        <v>0</v>
      </c>
      <c r="I13" s="249"/>
      <c r="J13" s="248">
        <f>SUM(J6:J11)</f>
        <v>0</v>
      </c>
      <c r="K13" s="249"/>
      <c r="L13" s="248">
        <f>SUM(L6:L11)</f>
        <v>0</v>
      </c>
      <c r="M13" s="249"/>
      <c r="N13" s="248">
        <f>SUM(N6:N11)</f>
        <v>0</v>
      </c>
      <c r="O13" s="249"/>
      <c r="P13" s="248">
        <f>SUM(P6:P11)</f>
        <v>0</v>
      </c>
      <c r="Q13" s="249"/>
      <c r="R13" s="248">
        <f>SUM(R6:R11)</f>
        <v>0</v>
      </c>
      <c r="S13" s="249"/>
      <c r="T13" s="248">
        <f>SUM(T6:T11)</f>
        <v>0</v>
      </c>
      <c r="U13" s="249"/>
      <c r="V13" s="248">
        <f>SUM(V6:V11)</f>
        <v>0</v>
      </c>
      <c r="W13" s="249"/>
      <c r="X13" s="248">
        <f>SUM(X6:X11)</f>
        <v>0</v>
      </c>
      <c r="Y13" s="249"/>
      <c r="Z13" s="248">
        <f>SUM(Z6:Z11)</f>
        <v>0</v>
      </c>
      <c r="AA13" s="249"/>
      <c r="AB13" s="250">
        <f>SUM(AB6:AB11)</f>
        <v>0</v>
      </c>
      <c r="AD13" s="152"/>
      <c r="AE13" s="152"/>
      <c r="AF13" s="152"/>
      <c r="AG13" s="152"/>
      <c r="AH13" s="152"/>
      <c r="AI13" s="152"/>
      <c r="AJ13" s="152"/>
    </row>
    <row r="14" spans="1:36" ht="9" customHeight="1" x14ac:dyDescent="0.35">
      <c r="A14" s="142"/>
      <c r="B14" s="162"/>
      <c r="C14" s="163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8"/>
      <c r="AD14" s="152"/>
      <c r="AE14" s="152"/>
      <c r="AF14" s="152"/>
      <c r="AG14" s="152"/>
      <c r="AH14" s="152"/>
      <c r="AI14" s="152"/>
      <c r="AJ14" s="152"/>
    </row>
    <row r="15" spans="1:36" ht="20.149999999999999" customHeight="1" thickBot="1" x14ac:dyDescent="0.45">
      <c r="A15" s="164"/>
      <c r="B15" s="148" t="s">
        <v>285</v>
      </c>
      <c r="C15" s="14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60"/>
      <c r="AC15" s="165" t="s">
        <v>398</v>
      </c>
      <c r="AD15" s="152"/>
      <c r="AE15" s="152"/>
      <c r="AF15" s="152"/>
      <c r="AG15" s="152"/>
      <c r="AH15" s="152"/>
      <c r="AI15" s="152"/>
      <c r="AJ15" s="152"/>
    </row>
    <row r="16" spans="1:36" ht="21" customHeight="1" x14ac:dyDescent="0.35">
      <c r="A16" s="142"/>
      <c r="B16" s="153" t="s">
        <v>287</v>
      </c>
      <c r="C16" s="161"/>
      <c r="D16" s="261"/>
      <c r="E16" s="252"/>
      <c r="F16" s="261"/>
      <c r="G16" s="262"/>
      <c r="H16" s="261"/>
      <c r="I16" s="262"/>
      <c r="J16" s="261"/>
      <c r="K16" s="262"/>
      <c r="L16" s="261"/>
      <c r="M16" s="262"/>
      <c r="N16" s="261"/>
      <c r="O16" s="262"/>
      <c r="P16" s="261"/>
      <c r="Q16" s="262"/>
      <c r="R16" s="261"/>
      <c r="S16" s="262"/>
      <c r="T16" s="261"/>
      <c r="U16" s="262"/>
      <c r="V16" s="261"/>
      <c r="W16" s="262"/>
      <c r="X16" s="261"/>
      <c r="Y16" s="262"/>
      <c r="Z16" s="261"/>
      <c r="AA16" s="262"/>
      <c r="AB16" s="263">
        <f t="shared" ref="AB16:AB43" si="1">SUM(D16:Z16)</f>
        <v>0</v>
      </c>
      <c r="AC16" s="166"/>
      <c r="AD16" s="152" t="s">
        <v>288</v>
      </c>
      <c r="AE16" s="155"/>
      <c r="AF16" s="155"/>
      <c r="AG16" s="155"/>
      <c r="AH16" s="155"/>
      <c r="AI16" s="152"/>
      <c r="AJ16" s="152"/>
    </row>
    <row r="17" spans="1:36" ht="21" customHeight="1" x14ac:dyDescent="0.35">
      <c r="A17" s="142"/>
      <c r="B17" s="157" t="s">
        <v>289</v>
      </c>
      <c r="C17" s="161"/>
      <c r="D17" s="253"/>
      <c r="E17" s="252"/>
      <c r="F17" s="253"/>
      <c r="G17" s="252"/>
      <c r="H17" s="253"/>
      <c r="I17" s="252"/>
      <c r="J17" s="253"/>
      <c r="K17" s="252"/>
      <c r="L17" s="253"/>
      <c r="M17" s="252"/>
      <c r="N17" s="253"/>
      <c r="O17" s="252"/>
      <c r="P17" s="253"/>
      <c r="Q17" s="252"/>
      <c r="R17" s="253"/>
      <c r="S17" s="252"/>
      <c r="T17" s="253"/>
      <c r="U17" s="252"/>
      <c r="V17" s="253"/>
      <c r="W17" s="252"/>
      <c r="X17" s="253"/>
      <c r="Y17" s="252"/>
      <c r="Z17" s="253"/>
      <c r="AA17" s="252"/>
      <c r="AB17" s="254">
        <f t="shared" si="1"/>
        <v>0</v>
      </c>
      <c r="AC17" s="166"/>
      <c r="AD17" s="152"/>
      <c r="AE17" s="155"/>
      <c r="AF17" s="155"/>
      <c r="AG17" s="155"/>
      <c r="AH17" s="155"/>
      <c r="AI17" s="152"/>
      <c r="AJ17" s="152"/>
    </row>
    <row r="18" spans="1:36" ht="21" customHeight="1" x14ac:dyDescent="0.35">
      <c r="A18" s="142"/>
      <c r="B18" s="157" t="s">
        <v>290</v>
      </c>
      <c r="C18" s="161"/>
      <c r="D18" s="253"/>
      <c r="E18" s="252"/>
      <c r="F18" s="253"/>
      <c r="G18" s="252"/>
      <c r="H18" s="253"/>
      <c r="I18" s="252"/>
      <c r="J18" s="253"/>
      <c r="K18" s="252"/>
      <c r="L18" s="253"/>
      <c r="M18" s="252"/>
      <c r="N18" s="253"/>
      <c r="O18" s="252"/>
      <c r="P18" s="253"/>
      <c r="Q18" s="252"/>
      <c r="R18" s="253"/>
      <c r="S18" s="252"/>
      <c r="T18" s="253"/>
      <c r="U18" s="252"/>
      <c r="V18" s="253"/>
      <c r="W18" s="252"/>
      <c r="X18" s="253"/>
      <c r="Y18" s="252"/>
      <c r="Z18" s="253"/>
      <c r="AA18" s="252"/>
      <c r="AB18" s="254">
        <f t="shared" si="1"/>
        <v>0</v>
      </c>
      <c r="AC18" s="166"/>
      <c r="AD18" s="152"/>
      <c r="AE18" s="155"/>
      <c r="AF18" s="155"/>
      <c r="AG18" s="155"/>
      <c r="AH18" s="155"/>
      <c r="AI18" s="152"/>
      <c r="AJ18" s="152"/>
    </row>
    <row r="19" spans="1:36" ht="21" customHeight="1" x14ac:dyDescent="0.35">
      <c r="A19" s="142"/>
      <c r="B19" s="157" t="s">
        <v>291</v>
      </c>
      <c r="C19" s="161"/>
      <c r="D19" s="253"/>
      <c r="E19" s="252"/>
      <c r="F19" s="253"/>
      <c r="G19" s="252"/>
      <c r="H19" s="253"/>
      <c r="I19" s="252"/>
      <c r="J19" s="253"/>
      <c r="K19" s="252"/>
      <c r="L19" s="253"/>
      <c r="M19" s="252"/>
      <c r="N19" s="253"/>
      <c r="O19" s="252"/>
      <c r="P19" s="253"/>
      <c r="Q19" s="252"/>
      <c r="R19" s="253"/>
      <c r="S19" s="252"/>
      <c r="T19" s="253"/>
      <c r="U19" s="252"/>
      <c r="V19" s="253"/>
      <c r="W19" s="252"/>
      <c r="X19" s="253"/>
      <c r="Y19" s="252"/>
      <c r="Z19" s="253"/>
      <c r="AA19" s="252"/>
      <c r="AB19" s="254">
        <f t="shared" si="1"/>
        <v>0</v>
      </c>
      <c r="AC19" s="166"/>
      <c r="AD19" s="152"/>
      <c r="AE19" s="155"/>
      <c r="AF19" s="155"/>
      <c r="AG19" s="155"/>
      <c r="AH19" s="155"/>
      <c r="AI19" s="152"/>
      <c r="AJ19" s="152"/>
    </row>
    <row r="20" spans="1:36" ht="21" customHeight="1" x14ac:dyDescent="0.35">
      <c r="A20" s="142"/>
      <c r="B20" s="157" t="s">
        <v>292</v>
      </c>
      <c r="C20" s="161"/>
      <c r="D20" s="253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2"/>
      <c r="P20" s="253"/>
      <c r="Q20" s="252"/>
      <c r="R20" s="253"/>
      <c r="S20" s="252"/>
      <c r="T20" s="253"/>
      <c r="U20" s="252"/>
      <c r="V20" s="253"/>
      <c r="W20" s="252"/>
      <c r="X20" s="253"/>
      <c r="Y20" s="252"/>
      <c r="Z20" s="253"/>
      <c r="AA20" s="252"/>
      <c r="AB20" s="254">
        <f t="shared" si="1"/>
        <v>0</v>
      </c>
      <c r="AC20" s="166"/>
      <c r="AD20" s="152"/>
      <c r="AE20" s="155"/>
      <c r="AF20" s="167"/>
      <c r="AG20" s="155"/>
      <c r="AH20" s="155"/>
      <c r="AI20" s="152"/>
      <c r="AJ20" s="152"/>
    </row>
    <row r="21" spans="1:36" ht="21" customHeight="1" x14ac:dyDescent="0.35">
      <c r="A21" s="142"/>
      <c r="B21" s="157" t="s">
        <v>293</v>
      </c>
      <c r="C21" s="161"/>
      <c r="D21" s="253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2"/>
      <c r="P21" s="253"/>
      <c r="Q21" s="252"/>
      <c r="R21" s="253"/>
      <c r="S21" s="252"/>
      <c r="T21" s="253"/>
      <c r="U21" s="252"/>
      <c r="V21" s="253"/>
      <c r="W21" s="252"/>
      <c r="X21" s="253"/>
      <c r="Y21" s="252"/>
      <c r="Z21" s="253"/>
      <c r="AA21" s="252"/>
      <c r="AB21" s="254">
        <f t="shared" si="1"/>
        <v>0</v>
      </c>
      <c r="AC21" s="166"/>
      <c r="AD21" s="152"/>
      <c r="AE21" s="155"/>
      <c r="AF21" s="167"/>
      <c r="AG21" s="168"/>
      <c r="AH21" s="155"/>
      <c r="AI21" s="152"/>
      <c r="AJ21" s="152"/>
    </row>
    <row r="22" spans="1:36" ht="21" customHeight="1" x14ac:dyDescent="0.35">
      <c r="A22" s="142"/>
      <c r="B22" s="157" t="s">
        <v>294</v>
      </c>
      <c r="C22" s="161"/>
      <c r="D22" s="253"/>
      <c r="E22" s="252"/>
      <c r="F22" s="253"/>
      <c r="G22" s="252"/>
      <c r="H22" s="253"/>
      <c r="I22" s="252"/>
      <c r="J22" s="253"/>
      <c r="K22" s="252"/>
      <c r="L22" s="253"/>
      <c r="M22" s="252"/>
      <c r="N22" s="253"/>
      <c r="O22" s="252"/>
      <c r="P22" s="253"/>
      <c r="Q22" s="252"/>
      <c r="R22" s="253"/>
      <c r="S22" s="252"/>
      <c r="T22" s="253"/>
      <c r="U22" s="252"/>
      <c r="V22" s="253"/>
      <c r="W22" s="252"/>
      <c r="X22" s="253"/>
      <c r="Y22" s="252"/>
      <c r="Z22" s="253"/>
      <c r="AA22" s="252"/>
      <c r="AB22" s="254">
        <f t="shared" si="1"/>
        <v>0</v>
      </c>
      <c r="AC22" s="166"/>
      <c r="AD22" s="152"/>
      <c r="AE22" s="155"/>
      <c r="AF22" s="167"/>
      <c r="AG22" s="168"/>
      <c r="AH22" s="155"/>
      <c r="AI22" s="152"/>
      <c r="AJ22" s="152"/>
    </row>
    <row r="23" spans="1:36" ht="21" customHeight="1" x14ac:dyDescent="0.35">
      <c r="A23" s="142"/>
      <c r="B23" s="157" t="s">
        <v>295</v>
      </c>
      <c r="C23" s="161"/>
      <c r="D23" s="253"/>
      <c r="E23" s="252"/>
      <c r="F23" s="253"/>
      <c r="G23" s="252"/>
      <c r="H23" s="253"/>
      <c r="I23" s="252"/>
      <c r="J23" s="253"/>
      <c r="K23" s="252"/>
      <c r="L23" s="253"/>
      <c r="M23" s="252"/>
      <c r="N23" s="253"/>
      <c r="O23" s="252"/>
      <c r="P23" s="253"/>
      <c r="Q23" s="252"/>
      <c r="R23" s="253"/>
      <c r="S23" s="252"/>
      <c r="T23" s="253"/>
      <c r="U23" s="252"/>
      <c r="V23" s="253"/>
      <c r="W23" s="252"/>
      <c r="X23" s="253"/>
      <c r="Y23" s="252"/>
      <c r="Z23" s="253"/>
      <c r="AA23" s="252"/>
      <c r="AB23" s="254">
        <f t="shared" si="1"/>
        <v>0</v>
      </c>
      <c r="AC23" s="166"/>
      <c r="AD23" s="152"/>
      <c r="AE23" s="155"/>
      <c r="AF23" s="167"/>
      <c r="AG23" s="168"/>
      <c r="AH23" s="155"/>
      <c r="AI23" s="152"/>
      <c r="AJ23" s="152"/>
    </row>
    <row r="24" spans="1:36" ht="21" customHeight="1" x14ac:dyDescent="0.35">
      <c r="A24" s="142"/>
      <c r="B24" s="157" t="s">
        <v>296</v>
      </c>
      <c r="C24" s="161"/>
      <c r="D24" s="253"/>
      <c r="E24" s="252"/>
      <c r="F24" s="253"/>
      <c r="G24" s="252"/>
      <c r="H24" s="253"/>
      <c r="I24" s="252"/>
      <c r="J24" s="253"/>
      <c r="K24" s="252"/>
      <c r="L24" s="253"/>
      <c r="M24" s="252"/>
      <c r="N24" s="253"/>
      <c r="O24" s="252"/>
      <c r="P24" s="253"/>
      <c r="Q24" s="252"/>
      <c r="R24" s="253"/>
      <c r="S24" s="252"/>
      <c r="T24" s="253"/>
      <c r="U24" s="252"/>
      <c r="V24" s="253"/>
      <c r="W24" s="252"/>
      <c r="X24" s="253"/>
      <c r="Y24" s="252"/>
      <c r="Z24" s="253"/>
      <c r="AA24" s="252"/>
      <c r="AB24" s="254">
        <f t="shared" si="1"/>
        <v>0</v>
      </c>
      <c r="AC24" s="166"/>
      <c r="AD24" s="152"/>
      <c r="AE24" s="155"/>
      <c r="AF24" s="167"/>
      <c r="AG24" s="168"/>
      <c r="AH24" s="155"/>
      <c r="AI24" s="152"/>
      <c r="AJ24" s="152"/>
    </row>
    <row r="25" spans="1:36" ht="21" customHeight="1" x14ac:dyDescent="0.35">
      <c r="A25" s="142"/>
      <c r="B25" s="157" t="s">
        <v>297</v>
      </c>
      <c r="C25" s="161"/>
      <c r="D25" s="253"/>
      <c r="E25" s="252"/>
      <c r="F25" s="253"/>
      <c r="G25" s="252"/>
      <c r="H25" s="253"/>
      <c r="I25" s="252"/>
      <c r="J25" s="253"/>
      <c r="K25" s="252"/>
      <c r="L25" s="253"/>
      <c r="M25" s="252"/>
      <c r="N25" s="253"/>
      <c r="O25" s="252"/>
      <c r="P25" s="253"/>
      <c r="Q25" s="252"/>
      <c r="R25" s="253"/>
      <c r="S25" s="252"/>
      <c r="T25" s="253"/>
      <c r="U25" s="252"/>
      <c r="V25" s="253"/>
      <c r="W25" s="252"/>
      <c r="X25" s="253"/>
      <c r="Y25" s="252"/>
      <c r="Z25" s="253"/>
      <c r="AA25" s="252"/>
      <c r="AB25" s="254">
        <f t="shared" si="1"/>
        <v>0</v>
      </c>
      <c r="AC25" s="166"/>
      <c r="AD25" s="152"/>
      <c r="AE25" s="155"/>
      <c r="AF25" s="167"/>
      <c r="AG25" s="168"/>
      <c r="AH25" s="155"/>
      <c r="AI25" s="152"/>
      <c r="AJ25" s="152"/>
    </row>
    <row r="26" spans="1:36" ht="21" customHeight="1" x14ac:dyDescent="0.35">
      <c r="A26" s="142"/>
      <c r="B26" s="157" t="s">
        <v>298</v>
      </c>
      <c r="C26" s="161"/>
      <c r="D26" s="253"/>
      <c r="E26" s="252"/>
      <c r="F26" s="253"/>
      <c r="G26" s="252"/>
      <c r="H26" s="253"/>
      <c r="I26" s="252"/>
      <c r="J26" s="253"/>
      <c r="K26" s="252"/>
      <c r="L26" s="253"/>
      <c r="M26" s="252"/>
      <c r="N26" s="253"/>
      <c r="O26" s="252"/>
      <c r="P26" s="253"/>
      <c r="Q26" s="252"/>
      <c r="R26" s="253"/>
      <c r="S26" s="252"/>
      <c r="T26" s="253"/>
      <c r="U26" s="252"/>
      <c r="V26" s="253"/>
      <c r="W26" s="252"/>
      <c r="X26" s="253"/>
      <c r="Y26" s="252"/>
      <c r="Z26" s="253"/>
      <c r="AA26" s="252"/>
      <c r="AB26" s="254">
        <f t="shared" si="1"/>
        <v>0</v>
      </c>
      <c r="AC26" s="166"/>
      <c r="AD26" s="152"/>
      <c r="AE26" s="155"/>
      <c r="AF26" s="169"/>
      <c r="AG26" s="168"/>
      <c r="AH26" s="155"/>
      <c r="AI26" s="152"/>
      <c r="AJ26" s="152"/>
    </row>
    <row r="27" spans="1:36" ht="21" customHeight="1" x14ac:dyDescent="0.35">
      <c r="A27" s="142"/>
      <c r="B27" s="157" t="s">
        <v>299</v>
      </c>
      <c r="C27" s="161"/>
      <c r="D27" s="253"/>
      <c r="E27" s="252"/>
      <c r="F27" s="253"/>
      <c r="G27" s="252"/>
      <c r="H27" s="253"/>
      <c r="I27" s="252"/>
      <c r="J27" s="253"/>
      <c r="K27" s="252"/>
      <c r="L27" s="253"/>
      <c r="M27" s="252"/>
      <c r="N27" s="253"/>
      <c r="O27" s="252"/>
      <c r="P27" s="253"/>
      <c r="Q27" s="252"/>
      <c r="R27" s="253"/>
      <c r="S27" s="252"/>
      <c r="T27" s="253"/>
      <c r="U27" s="252"/>
      <c r="V27" s="253"/>
      <c r="W27" s="252"/>
      <c r="X27" s="253"/>
      <c r="Y27" s="252"/>
      <c r="Z27" s="253"/>
      <c r="AA27" s="252"/>
      <c r="AB27" s="254">
        <f t="shared" si="1"/>
        <v>0</v>
      </c>
      <c r="AC27" s="166"/>
      <c r="AD27" s="152"/>
      <c r="AE27" s="155"/>
      <c r="AF27" s="155"/>
      <c r="AG27" s="155"/>
      <c r="AH27" s="155"/>
      <c r="AI27" s="152"/>
      <c r="AJ27" s="152"/>
    </row>
    <row r="28" spans="1:36" ht="21" customHeight="1" x14ac:dyDescent="0.35">
      <c r="A28" s="142"/>
      <c r="B28" s="157" t="s">
        <v>300</v>
      </c>
      <c r="C28" s="161"/>
      <c r="D28" s="253"/>
      <c r="E28" s="252"/>
      <c r="F28" s="253"/>
      <c r="G28" s="252"/>
      <c r="H28" s="253"/>
      <c r="I28" s="252"/>
      <c r="J28" s="253"/>
      <c r="K28" s="252"/>
      <c r="L28" s="253"/>
      <c r="M28" s="252"/>
      <c r="N28" s="253"/>
      <c r="O28" s="252"/>
      <c r="P28" s="253"/>
      <c r="Q28" s="252"/>
      <c r="R28" s="253"/>
      <c r="S28" s="252"/>
      <c r="T28" s="253"/>
      <c r="U28" s="252"/>
      <c r="V28" s="253"/>
      <c r="W28" s="252"/>
      <c r="X28" s="253"/>
      <c r="Y28" s="252"/>
      <c r="Z28" s="253"/>
      <c r="AA28" s="252"/>
      <c r="AB28" s="254">
        <f t="shared" si="1"/>
        <v>0</v>
      </c>
      <c r="AC28" s="166"/>
      <c r="AD28" s="152"/>
      <c r="AE28" s="155"/>
      <c r="AF28" s="155"/>
      <c r="AG28" s="155"/>
      <c r="AH28" s="155"/>
      <c r="AI28" s="152"/>
      <c r="AJ28" s="152"/>
    </row>
    <row r="29" spans="1:36" ht="21" customHeight="1" x14ac:dyDescent="0.35">
      <c r="A29" s="142"/>
      <c r="B29" s="157" t="s">
        <v>301</v>
      </c>
      <c r="C29" s="161"/>
      <c r="D29" s="253"/>
      <c r="E29" s="252"/>
      <c r="F29" s="253"/>
      <c r="G29" s="252"/>
      <c r="H29" s="253"/>
      <c r="I29" s="252"/>
      <c r="J29" s="253"/>
      <c r="K29" s="252"/>
      <c r="L29" s="253"/>
      <c r="M29" s="252"/>
      <c r="N29" s="253"/>
      <c r="O29" s="252"/>
      <c r="P29" s="253"/>
      <c r="Q29" s="252"/>
      <c r="R29" s="253"/>
      <c r="S29" s="252"/>
      <c r="T29" s="253"/>
      <c r="U29" s="252"/>
      <c r="V29" s="253"/>
      <c r="W29" s="252"/>
      <c r="X29" s="253"/>
      <c r="Y29" s="252"/>
      <c r="Z29" s="253"/>
      <c r="AA29" s="252"/>
      <c r="AB29" s="254">
        <f t="shared" si="1"/>
        <v>0</v>
      </c>
      <c r="AC29" s="166"/>
      <c r="AD29" s="152"/>
      <c r="AE29" s="155"/>
      <c r="AF29" s="167"/>
      <c r="AG29" s="168"/>
      <c r="AH29" s="155"/>
      <c r="AI29" s="152"/>
      <c r="AJ29" s="152"/>
    </row>
    <row r="30" spans="1:36" ht="21" customHeight="1" x14ac:dyDescent="0.35">
      <c r="A30" s="142"/>
      <c r="B30" s="157" t="s">
        <v>302</v>
      </c>
      <c r="C30" s="161"/>
      <c r="D30" s="253"/>
      <c r="E30" s="252"/>
      <c r="F30" s="253"/>
      <c r="G30" s="252"/>
      <c r="H30" s="253"/>
      <c r="I30" s="252"/>
      <c r="J30" s="253"/>
      <c r="K30" s="252"/>
      <c r="L30" s="253"/>
      <c r="M30" s="252"/>
      <c r="N30" s="253"/>
      <c r="O30" s="252"/>
      <c r="P30" s="253"/>
      <c r="Q30" s="252"/>
      <c r="R30" s="253"/>
      <c r="S30" s="252"/>
      <c r="T30" s="253"/>
      <c r="U30" s="252"/>
      <c r="V30" s="253"/>
      <c r="W30" s="252"/>
      <c r="X30" s="253"/>
      <c r="Y30" s="252"/>
      <c r="Z30" s="253"/>
      <c r="AA30" s="252"/>
      <c r="AB30" s="254">
        <f t="shared" si="1"/>
        <v>0</v>
      </c>
      <c r="AC30" s="166"/>
      <c r="AD30" s="152"/>
      <c r="AE30" s="155"/>
      <c r="AF30" s="155"/>
      <c r="AG30" s="155"/>
      <c r="AH30" s="155"/>
      <c r="AI30" s="152"/>
      <c r="AJ30" s="152"/>
    </row>
    <row r="31" spans="1:36" ht="21" customHeight="1" x14ac:dyDescent="0.35">
      <c r="A31" s="142"/>
      <c r="B31" s="157" t="s">
        <v>303</v>
      </c>
      <c r="C31" s="161"/>
      <c r="D31" s="253"/>
      <c r="E31" s="252"/>
      <c r="F31" s="253"/>
      <c r="G31" s="252"/>
      <c r="H31" s="253"/>
      <c r="I31" s="252"/>
      <c r="J31" s="253"/>
      <c r="K31" s="252"/>
      <c r="L31" s="253"/>
      <c r="M31" s="252"/>
      <c r="N31" s="253"/>
      <c r="O31" s="252"/>
      <c r="P31" s="253"/>
      <c r="Q31" s="252"/>
      <c r="R31" s="253"/>
      <c r="S31" s="252"/>
      <c r="T31" s="253"/>
      <c r="U31" s="252"/>
      <c r="V31" s="253"/>
      <c r="W31" s="252"/>
      <c r="X31" s="253"/>
      <c r="Y31" s="252"/>
      <c r="Z31" s="253"/>
      <c r="AA31" s="252"/>
      <c r="AB31" s="254">
        <f t="shared" si="1"/>
        <v>0</v>
      </c>
      <c r="AC31" s="166"/>
      <c r="AD31" s="152"/>
      <c r="AE31" s="155"/>
      <c r="AF31" s="155"/>
      <c r="AG31" s="170"/>
      <c r="AH31" s="155"/>
      <c r="AI31" s="152"/>
      <c r="AJ31" s="152"/>
    </row>
    <row r="32" spans="1:36" ht="21" customHeight="1" x14ac:dyDescent="0.35">
      <c r="A32" s="142"/>
      <c r="B32" s="157" t="s">
        <v>304</v>
      </c>
      <c r="C32" s="161"/>
      <c r="D32" s="253"/>
      <c r="E32" s="252"/>
      <c r="F32" s="253"/>
      <c r="G32" s="252"/>
      <c r="H32" s="253"/>
      <c r="I32" s="252"/>
      <c r="J32" s="253"/>
      <c r="K32" s="252"/>
      <c r="L32" s="253"/>
      <c r="M32" s="252"/>
      <c r="N32" s="253"/>
      <c r="O32" s="252"/>
      <c r="P32" s="253"/>
      <c r="Q32" s="252"/>
      <c r="R32" s="253"/>
      <c r="S32" s="252"/>
      <c r="T32" s="253"/>
      <c r="U32" s="252"/>
      <c r="V32" s="253"/>
      <c r="W32" s="252"/>
      <c r="X32" s="253"/>
      <c r="Y32" s="252"/>
      <c r="Z32" s="253"/>
      <c r="AA32" s="252"/>
      <c r="AB32" s="254">
        <f t="shared" si="1"/>
        <v>0</v>
      </c>
      <c r="AC32" s="166"/>
      <c r="AD32" s="152"/>
      <c r="AE32" s="155"/>
      <c r="AF32" s="155"/>
      <c r="AG32" s="155"/>
      <c r="AH32" s="155"/>
      <c r="AI32" s="152"/>
      <c r="AJ32" s="152"/>
    </row>
    <row r="33" spans="1:36" ht="21" customHeight="1" x14ac:dyDescent="0.35">
      <c r="A33" s="142"/>
      <c r="B33" s="157" t="s">
        <v>305</v>
      </c>
      <c r="C33" s="161"/>
      <c r="D33" s="253"/>
      <c r="E33" s="252"/>
      <c r="F33" s="253"/>
      <c r="G33" s="252"/>
      <c r="H33" s="253"/>
      <c r="I33" s="252"/>
      <c r="J33" s="253"/>
      <c r="K33" s="252"/>
      <c r="L33" s="253"/>
      <c r="M33" s="252"/>
      <c r="N33" s="253"/>
      <c r="O33" s="252"/>
      <c r="P33" s="253"/>
      <c r="Q33" s="252"/>
      <c r="R33" s="253"/>
      <c r="S33" s="252"/>
      <c r="T33" s="253"/>
      <c r="U33" s="252"/>
      <c r="V33" s="253"/>
      <c r="W33" s="252"/>
      <c r="X33" s="253"/>
      <c r="Y33" s="252"/>
      <c r="Z33" s="253"/>
      <c r="AA33" s="252"/>
      <c r="AB33" s="254">
        <f t="shared" si="1"/>
        <v>0</v>
      </c>
      <c r="AC33" s="166"/>
      <c r="AD33" s="152"/>
      <c r="AE33" s="155"/>
      <c r="AF33" s="155"/>
      <c r="AG33" s="155"/>
      <c r="AH33" s="155"/>
      <c r="AI33" s="152"/>
      <c r="AJ33" s="152"/>
    </row>
    <row r="34" spans="1:36" ht="21" customHeight="1" x14ac:dyDescent="0.35">
      <c r="A34" s="142"/>
      <c r="B34" s="157" t="s">
        <v>306</v>
      </c>
      <c r="C34" s="161"/>
      <c r="D34" s="253"/>
      <c r="E34" s="252"/>
      <c r="F34" s="253"/>
      <c r="G34" s="252"/>
      <c r="H34" s="253"/>
      <c r="I34" s="252"/>
      <c r="J34" s="253"/>
      <c r="K34" s="252"/>
      <c r="L34" s="253"/>
      <c r="M34" s="252"/>
      <c r="N34" s="253"/>
      <c r="O34" s="252"/>
      <c r="P34" s="253"/>
      <c r="Q34" s="252"/>
      <c r="R34" s="253"/>
      <c r="S34" s="252"/>
      <c r="T34" s="253"/>
      <c r="U34" s="252"/>
      <c r="V34" s="253"/>
      <c r="W34" s="252"/>
      <c r="X34" s="253"/>
      <c r="Y34" s="252"/>
      <c r="Z34" s="253"/>
      <c r="AA34" s="252"/>
      <c r="AB34" s="254">
        <f t="shared" si="1"/>
        <v>0</v>
      </c>
      <c r="AC34" s="166"/>
      <c r="AD34" s="152"/>
      <c r="AE34" s="155"/>
      <c r="AF34" s="155"/>
      <c r="AG34" s="155"/>
      <c r="AH34" s="155"/>
      <c r="AI34" s="152"/>
      <c r="AJ34" s="152"/>
    </row>
    <row r="35" spans="1:36" ht="21" customHeight="1" x14ac:dyDescent="0.35">
      <c r="A35" s="142"/>
      <c r="B35" s="157" t="s">
        <v>307</v>
      </c>
      <c r="C35" s="161"/>
      <c r="D35" s="253"/>
      <c r="E35" s="252"/>
      <c r="F35" s="253"/>
      <c r="G35" s="252"/>
      <c r="H35" s="253"/>
      <c r="I35" s="252"/>
      <c r="J35" s="253"/>
      <c r="K35" s="252"/>
      <c r="L35" s="253"/>
      <c r="M35" s="252"/>
      <c r="N35" s="253"/>
      <c r="O35" s="252"/>
      <c r="P35" s="253"/>
      <c r="Q35" s="252"/>
      <c r="R35" s="253"/>
      <c r="S35" s="252"/>
      <c r="T35" s="253"/>
      <c r="U35" s="252"/>
      <c r="V35" s="253"/>
      <c r="W35" s="252"/>
      <c r="X35" s="253"/>
      <c r="Y35" s="252"/>
      <c r="Z35" s="253"/>
      <c r="AA35" s="252"/>
      <c r="AB35" s="254">
        <f t="shared" si="1"/>
        <v>0</v>
      </c>
      <c r="AC35" s="166"/>
      <c r="AD35" s="152"/>
      <c r="AE35" s="155"/>
      <c r="AF35" s="155"/>
      <c r="AG35" s="155"/>
      <c r="AH35" s="155"/>
      <c r="AI35" s="152"/>
      <c r="AJ35" s="152"/>
    </row>
    <row r="36" spans="1:36" ht="21" customHeight="1" x14ac:dyDescent="0.35">
      <c r="A36" s="142"/>
      <c r="B36" s="157" t="s">
        <v>308</v>
      </c>
      <c r="C36" s="161"/>
      <c r="D36" s="253"/>
      <c r="E36" s="252"/>
      <c r="F36" s="253"/>
      <c r="G36" s="252"/>
      <c r="H36" s="253"/>
      <c r="I36" s="252"/>
      <c r="J36" s="253"/>
      <c r="K36" s="252"/>
      <c r="L36" s="253"/>
      <c r="M36" s="252"/>
      <c r="N36" s="253"/>
      <c r="O36" s="252"/>
      <c r="P36" s="253"/>
      <c r="Q36" s="252"/>
      <c r="R36" s="253"/>
      <c r="S36" s="252"/>
      <c r="T36" s="253"/>
      <c r="U36" s="252"/>
      <c r="V36" s="253"/>
      <c r="W36" s="252"/>
      <c r="X36" s="253"/>
      <c r="Y36" s="252"/>
      <c r="Z36" s="253"/>
      <c r="AA36" s="252"/>
      <c r="AB36" s="254">
        <f t="shared" si="1"/>
        <v>0</v>
      </c>
      <c r="AD36" s="152"/>
      <c r="AE36" s="155"/>
      <c r="AF36" s="155"/>
      <c r="AG36" s="155"/>
      <c r="AH36" s="155"/>
      <c r="AI36" s="152"/>
      <c r="AJ36" s="152"/>
    </row>
    <row r="37" spans="1:36" ht="21" customHeight="1" x14ac:dyDescent="0.35">
      <c r="A37" s="142"/>
      <c r="B37" s="157" t="s">
        <v>93</v>
      </c>
      <c r="C37" s="161"/>
      <c r="D37" s="253"/>
      <c r="E37" s="252"/>
      <c r="F37" s="253"/>
      <c r="G37" s="252"/>
      <c r="H37" s="253"/>
      <c r="I37" s="252"/>
      <c r="J37" s="253"/>
      <c r="K37" s="252"/>
      <c r="L37" s="253"/>
      <c r="M37" s="252"/>
      <c r="N37" s="253"/>
      <c r="O37" s="252"/>
      <c r="P37" s="253"/>
      <c r="Q37" s="252"/>
      <c r="R37" s="253"/>
      <c r="S37" s="252"/>
      <c r="T37" s="253"/>
      <c r="U37" s="252"/>
      <c r="V37" s="253"/>
      <c r="W37" s="252"/>
      <c r="X37" s="253"/>
      <c r="Y37" s="252"/>
      <c r="Z37" s="253"/>
      <c r="AA37" s="252"/>
      <c r="AB37" s="254">
        <f t="shared" si="1"/>
        <v>0</v>
      </c>
      <c r="AD37" s="152"/>
      <c r="AE37" s="155"/>
      <c r="AF37" s="155"/>
      <c r="AG37" s="155"/>
      <c r="AH37" s="155"/>
      <c r="AI37" s="152"/>
      <c r="AJ37" s="152"/>
    </row>
    <row r="38" spans="1:36" ht="21" customHeight="1" x14ac:dyDescent="0.35">
      <c r="A38" s="142"/>
      <c r="B38" s="157" t="s">
        <v>309</v>
      </c>
      <c r="C38" s="161"/>
      <c r="D38" s="253"/>
      <c r="E38" s="252"/>
      <c r="F38" s="264"/>
      <c r="G38" s="252"/>
      <c r="H38" s="264"/>
      <c r="I38" s="252"/>
      <c r="J38" s="264"/>
      <c r="K38" s="252"/>
      <c r="L38" s="264"/>
      <c r="M38" s="252"/>
      <c r="N38" s="264"/>
      <c r="O38" s="252"/>
      <c r="P38" s="264"/>
      <c r="Q38" s="252"/>
      <c r="R38" s="264"/>
      <c r="S38" s="252"/>
      <c r="T38" s="264"/>
      <c r="U38" s="252"/>
      <c r="V38" s="264"/>
      <c r="W38" s="252"/>
      <c r="X38" s="264"/>
      <c r="Y38" s="252"/>
      <c r="Z38" s="264"/>
      <c r="AA38" s="252"/>
      <c r="AB38" s="254">
        <f t="shared" si="1"/>
        <v>0</v>
      </c>
      <c r="AD38" s="152"/>
      <c r="AE38" s="155"/>
      <c r="AF38" s="155"/>
      <c r="AG38" s="155"/>
      <c r="AH38" s="155"/>
      <c r="AI38" s="152"/>
      <c r="AJ38" s="152"/>
    </row>
    <row r="39" spans="1:36" ht="21" customHeight="1" x14ac:dyDescent="0.35">
      <c r="A39" s="142"/>
      <c r="B39" s="157" t="s">
        <v>310</v>
      </c>
      <c r="C39" s="161"/>
      <c r="D39" s="253"/>
      <c r="E39" s="252"/>
      <c r="F39" s="253"/>
      <c r="G39" s="252"/>
      <c r="H39" s="253"/>
      <c r="I39" s="252"/>
      <c r="J39" s="253"/>
      <c r="K39" s="252"/>
      <c r="L39" s="253"/>
      <c r="M39" s="252"/>
      <c r="N39" s="253"/>
      <c r="O39" s="252"/>
      <c r="P39" s="253"/>
      <c r="Q39" s="252"/>
      <c r="R39" s="253"/>
      <c r="S39" s="252"/>
      <c r="T39" s="253"/>
      <c r="U39" s="252"/>
      <c r="V39" s="253"/>
      <c r="W39" s="252"/>
      <c r="X39" s="253"/>
      <c r="Y39" s="252"/>
      <c r="Z39" s="253"/>
      <c r="AA39" s="252"/>
      <c r="AB39" s="254">
        <f t="shared" si="1"/>
        <v>0</v>
      </c>
      <c r="AD39" s="152"/>
      <c r="AE39" s="155"/>
      <c r="AF39" s="155"/>
      <c r="AG39" s="155"/>
      <c r="AH39" s="155"/>
      <c r="AI39" s="152"/>
      <c r="AJ39" s="152"/>
    </row>
    <row r="40" spans="1:36" ht="21" customHeight="1" x14ac:dyDescent="0.35">
      <c r="A40" s="142"/>
      <c r="B40" s="157" t="s">
        <v>311</v>
      </c>
      <c r="C40" s="161"/>
      <c r="D40" s="265"/>
      <c r="E40" s="252"/>
      <c r="F40" s="265"/>
      <c r="G40" s="252"/>
      <c r="H40" s="265"/>
      <c r="I40" s="252"/>
      <c r="J40" s="265"/>
      <c r="K40" s="252"/>
      <c r="L40" s="265"/>
      <c r="M40" s="252"/>
      <c r="N40" s="265"/>
      <c r="O40" s="252"/>
      <c r="P40" s="265"/>
      <c r="Q40" s="252"/>
      <c r="R40" s="265"/>
      <c r="S40" s="252"/>
      <c r="T40" s="265"/>
      <c r="U40" s="252"/>
      <c r="V40" s="265"/>
      <c r="W40" s="252"/>
      <c r="X40" s="265"/>
      <c r="Y40" s="252"/>
      <c r="Z40" s="265"/>
      <c r="AA40" s="252"/>
      <c r="AB40" s="254">
        <f t="shared" si="1"/>
        <v>0</v>
      </c>
      <c r="AC40" s="166"/>
      <c r="AD40" s="152"/>
      <c r="AE40" s="152"/>
      <c r="AF40" s="152"/>
      <c r="AG40" s="152"/>
      <c r="AH40" s="152"/>
      <c r="AI40" s="152"/>
      <c r="AJ40" s="152"/>
    </row>
    <row r="41" spans="1:36" ht="21" customHeight="1" x14ac:dyDescent="0.35">
      <c r="A41" s="142"/>
      <c r="B41" s="157" t="s">
        <v>312</v>
      </c>
      <c r="C41" s="161"/>
      <c r="D41" s="265"/>
      <c r="E41" s="252"/>
      <c r="F41" s="265"/>
      <c r="G41" s="252"/>
      <c r="H41" s="265"/>
      <c r="I41" s="252"/>
      <c r="J41" s="265"/>
      <c r="K41" s="252"/>
      <c r="L41" s="265"/>
      <c r="M41" s="252"/>
      <c r="N41" s="265"/>
      <c r="O41" s="252"/>
      <c r="P41" s="265"/>
      <c r="Q41" s="252"/>
      <c r="R41" s="265"/>
      <c r="S41" s="252"/>
      <c r="T41" s="265"/>
      <c r="U41" s="252"/>
      <c r="V41" s="265"/>
      <c r="W41" s="252"/>
      <c r="X41" s="265"/>
      <c r="Y41" s="252"/>
      <c r="Z41" s="265"/>
      <c r="AA41" s="252"/>
      <c r="AB41" s="254">
        <f t="shared" si="1"/>
        <v>0</v>
      </c>
      <c r="AC41" s="166"/>
      <c r="AD41" s="152"/>
      <c r="AE41" s="152"/>
      <c r="AF41" s="152"/>
      <c r="AG41" s="152"/>
      <c r="AH41" s="152"/>
      <c r="AI41" s="152"/>
      <c r="AJ41" s="152"/>
    </row>
    <row r="42" spans="1:36" ht="21" customHeight="1" x14ac:dyDescent="0.35">
      <c r="A42" s="142"/>
      <c r="B42" s="157" t="s">
        <v>313</v>
      </c>
      <c r="C42" s="161"/>
      <c r="D42" s="253"/>
      <c r="E42" s="252"/>
      <c r="F42" s="253"/>
      <c r="G42" s="252"/>
      <c r="H42" s="253"/>
      <c r="I42" s="252"/>
      <c r="J42" s="253"/>
      <c r="K42" s="252"/>
      <c r="L42" s="253"/>
      <c r="M42" s="252"/>
      <c r="N42" s="253"/>
      <c r="O42" s="252"/>
      <c r="P42" s="253"/>
      <c r="Q42" s="252"/>
      <c r="R42" s="253"/>
      <c r="S42" s="252"/>
      <c r="T42" s="253"/>
      <c r="U42" s="252"/>
      <c r="V42" s="253"/>
      <c r="W42" s="252"/>
      <c r="X42" s="253"/>
      <c r="Y42" s="252"/>
      <c r="Z42" s="253"/>
      <c r="AA42" s="252"/>
      <c r="AB42" s="254">
        <f t="shared" si="1"/>
        <v>0</v>
      </c>
      <c r="AC42" s="166"/>
      <c r="AD42" s="152"/>
      <c r="AE42" s="152"/>
      <c r="AF42" s="152"/>
      <c r="AG42" s="152"/>
      <c r="AH42" s="152"/>
      <c r="AI42" s="152"/>
      <c r="AJ42" s="152"/>
    </row>
    <row r="43" spans="1:36" ht="21" customHeight="1" x14ac:dyDescent="0.35">
      <c r="A43" s="142"/>
      <c r="B43" s="157" t="s">
        <v>314</v>
      </c>
      <c r="C43" s="161"/>
      <c r="D43" s="266"/>
      <c r="E43" s="252"/>
      <c r="F43" s="265"/>
      <c r="G43" s="252"/>
      <c r="H43" s="265"/>
      <c r="I43" s="252"/>
      <c r="J43" s="265"/>
      <c r="K43" s="252"/>
      <c r="L43" s="265"/>
      <c r="M43" s="252"/>
      <c r="N43" s="265"/>
      <c r="O43" s="252"/>
      <c r="P43" s="265"/>
      <c r="Q43" s="252"/>
      <c r="R43" s="265"/>
      <c r="S43" s="252"/>
      <c r="T43" s="265"/>
      <c r="U43" s="252"/>
      <c r="V43" s="265"/>
      <c r="W43" s="252"/>
      <c r="X43" s="265"/>
      <c r="Y43" s="252"/>
      <c r="Z43" s="265"/>
      <c r="AA43" s="252"/>
      <c r="AB43" s="254">
        <f t="shared" si="1"/>
        <v>0</v>
      </c>
      <c r="AD43" s="152"/>
      <c r="AE43" s="152"/>
      <c r="AF43" s="152"/>
      <c r="AG43" s="152"/>
      <c r="AH43" s="152"/>
      <c r="AI43" s="152"/>
      <c r="AJ43" s="152"/>
    </row>
    <row r="44" spans="1:36" ht="3.75" customHeight="1" thickBot="1" x14ac:dyDescent="0.4">
      <c r="A44" s="171"/>
      <c r="B44" s="159"/>
      <c r="C44" s="172"/>
      <c r="D44" s="255"/>
      <c r="E44" s="255"/>
      <c r="F44" s="267"/>
      <c r="G44" s="255"/>
      <c r="H44" s="267"/>
      <c r="I44" s="255"/>
      <c r="J44" s="267"/>
      <c r="K44" s="255"/>
      <c r="L44" s="267"/>
      <c r="M44" s="255"/>
      <c r="N44" s="267"/>
      <c r="O44" s="255"/>
      <c r="P44" s="267"/>
      <c r="Q44" s="255"/>
      <c r="R44" s="267"/>
      <c r="S44" s="255"/>
      <c r="T44" s="267"/>
      <c r="U44" s="255"/>
      <c r="V44" s="267"/>
      <c r="W44" s="255"/>
      <c r="X44" s="267"/>
      <c r="Y44" s="255"/>
      <c r="Z44" s="267"/>
      <c r="AA44" s="255"/>
      <c r="AB44" s="256"/>
      <c r="AD44" s="152"/>
      <c r="AE44" s="152"/>
      <c r="AF44" s="152"/>
      <c r="AG44" s="152"/>
      <c r="AH44" s="152"/>
      <c r="AI44" s="152"/>
      <c r="AJ44" s="152"/>
    </row>
    <row r="45" spans="1:36" ht="21.75" customHeight="1" x14ac:dyDescent="0.35">
      <c r="A45" s="142" t="s">
        <v>315</v>
      </c>
      <c r="B45" s="35" t="s">
        <v>316</v>
      </c>
      <c r="C45" s="161"/>
      <c r="D45" s="248">
        <f>SUM(D16:D43)</f>
        <v>0</v>
      </c>
      <c r="E45" s="249"/>
      <c r="F45" s="248">
        <f>SUM(F16:F43)</f>
        <v>0</v>
      </c>
      <c r="G45" s="249"/>
      <c r="H45" s="248">
        <f>SUM(H16:H43)</f>
        <v>0</v>
      </c>
      <c r="I45" s="249"/>
      <c r="J45" s="248">
        <f>SUM(J16:J43)</f>
        <v>0</v>
      </c>
      <c r="K45" s="249"/>
      <c r="L45" s="248">
        <f>SUM(L16:L43)</f>
        <v>0</v>
      </c>
      <c r="M45" s="249"/>
      <c r="N45" s="248">
        <f>SUM(N16:N43)</f>
        <v>0</v>
      </c>
      <c r="O45" s="249"/>
      <c r="P45" s="248">
        <f>SUM(P16:P43)</f>
        <v>0</v>
      </c>
      <c r="Q45" s="249"/>
      <c r="R45" s="248">
        <f>SUM(R16:R43)</f>
        <v>0</v>
      </c>
      <c r="S45" s="249"/>
      <c r="T45" s="248">
        <f>SUM(T16:T43)</f>
        <v>0</v>
      </c>
      <c r="U45" s="249"/>
      <c r="V45" s="248">
        <f>SUM(V16:V43)</f>
        <v>0</v>
      </c>
      <c r="W45" s="249"/>
      <c r="X45" s="248">
        <f>SUM(X16:X43)</f>
        <v>0</v>
      </c>
      <c r="Y45" s="249"/>
      <c r="Z45" s="248">
        <f>SUM(Z16:Z43)</f>
        <v>0</v>
      </c>
      <c r="AA45" s="249"/>
      <c r="AB45" s="250">
        <f>SUM(AB16:AB43)</f>
        <v>0</v>
      </c>
      <c r="AD45" s="152"/>
      <c r="AE45" s="152"/>
      <c r="AF45" s="152"/>
      <c r="AG45" s="152"/>
      <c r="AH45" s="152"/>
      <c r="AI45" s="152"/>
      <c r="AJ45" s="152"/>
    </row>
    <row r="46" spans="1:36" ht="27.75" customHeight="1" x14ac:dyDescent="0.35">
      <c r="A46" s="142" t="s">
        <v>317</v>
      </c>
      <c r="B46" s="35" t="s">
        <v>318</v>
      </c>
      <c r="C46" s="161"/>
      <c r="D46" s="248">
        <f>D13-D45</f>
        <v>0</v>
      </c>
      <c r="E46" s="249"/>
      <c r="F46" s="248">
        <f>F13-F45</f>
        <v>0</v>
      </c>
      <c r="G46" s="249"/>
      <c r="H46" s="248">
        <f>H13-H45</f>
        <v>0</v>
      </c>
      <c r="I46" s="249"/>
      <c r="J46" s="248">
        <f>J13-J45</f>
        <v>0</v>
      </c>
      <c r="K46" s="249"/>
      <c r="L46" s="248">
        <f>L13-L45</f>
        <v>0</v>
      </c>
      <c r="M46" s="249"/>
      <c r="N46" s="248">
        <f>N13-N45</f>
        <v>0</v>
      </c>
      <c r="O46" s="249"/>
      <c r="P46" s="248">
        <f>P13-P45</f>
        <v>0</v>
      </c>
      <c r="Q46" s="249"/>
      <c r="R46" s="248">
        <f>R13-R45</f>
        <v>0</v>
      </c>
      <c r="S46" s="249"/>
      <c r="T46" s="248">
        <f>T13-T45</f>
        <v>0</v>
      </c>
      <c r="U46" s="249"/>
      <c r="V46" s="248">
        <f>V13-V45</f>
        <v>0</v>
      </c>
      <c r="W46" s="249"/>
      <c r="X46" s="248">
        <f>X13-X45</f>
        <v>0</v>
      </c>
      <c r="Y46" s="249"/>
      <c r="Z46" s="248">
        <f>Z13-Z45</f>
        <v>0</v>
      </c>
      <c r="AA46" s="249"/>
      <c r="AB46" s="250">
        <f>AB13-AB45</f>
        <v>0</v>
      </c>
      <c r="AD46" s="152"/>
      <c r="AE46" s="152"/>
      <c r="AF46" s="152"/>
      <c r="AG46" s="152"/>
      <c r="AH46" s="152"/>
      <c r="AI46" s="152"/>
      <c r="AJ46" s="152"/>
    </row>
    <row r="47" spans="1:36" ht="15.5" x14ac:dyDescent="0.35">
      <c r="A47" s="142"/>
      <c r="B47" s="173" t="s">
        <v>319</v>
      </c>
      <c r="C47" s="163"/>
      <c r="D47" s="249"/>
      <c r="E47" s="249"/>
      <c r="F47" s="268"/>
      <c r="G47" s="249"/>
      <c r="H47" s="268"/>
      <c r="I47" s="249"/>
      <c r="J47" s="268"/>
      <c r="K47" s="249"/>
      <c r="L47" s="268"/>
      <c r="M47" s="249"/>
      <c r="N47" s="268"/>
      <c r="O47" s="249"/>
      <c r="P47" s="268"/>
      <c r="Q47" s="249"/>
      <c r="R47" s="268"/>
      <c r="S47" s="249"/>
      <c r="T47" s="268"/>
      <c r="U47" s="249"/>
      <c r="V47" s="268"/>
      <c r="W47" s="249"/>
      <c r="X47" s="268"/>
      <c r="Y47" s="249"/>
      <c r="Z47" s="268"/>
      <c r="AA47" s="249"/>
      <c r="AB47" s="269" t="s">
        <v>320</v>
      </c>
      <c r="AD47" s="152"/>
      <c r="AE47" s="152"/>
      <c r="AF47" s="152"/>
      <c r="AG47" s="152"/>
      <c r="AH47" s="152"/>
      <c r="AI47" s="152"/>
      <c r="AJ47" s="152"/>
    </row>
    <row r="48" spans="1:36" ht="18.75" customHeight="1" x14ac:dyDescent="0.35">
      <c r="A48" s="142" t="s">
        <v>321</v>
      </c>
      <c r="B48" s="35" t="s">
        <v>322</v>
      </c>
      <c r="C48" s="163"/>
      <c r="D48" s="251">
        <v>1000</v>
      </c>
      <c r="E48" s="252"/>
      <c r="F48" s="248">
        <f>D68</f>
        <v>1000</v>
      </c>
      <c r="G48" s="249"/>
      <c r="H48" s="248">
        <f>F68</f>
        <v>1000</v>
      </c>
      <c r="I48" s="249"/>
      <c r="J48" s="248">
        <f>H68</f>
        <v>1000</v>
      </c>
      <c r="K48" s="249"/>
      <c r="L48" s="248">
        <f>J68</f>
        <v>1000</v>
      </c>
      <c r="M48" s="249"/>
      <c r="N48" s="248">
        <f>L68</f>
        <v>1000</v>
      </c>
      <c r="O48" s="249"/>
      <c r="P48" s="248">
        <f>N68</f>
        <v>1000</v>
      </c>
      <c r="Q48" s="249"/>
      <c r="R48" s="248">
        <f>P68</f>
        <v>1000</v>
      </c>
      <c r="S48" s="249"/>
      <c r="T48" s="248">
        <f>R68</f>
        <v>1000</v>
      </c>
      <c r="U48" s="249"/>
      <c r="V48" s="248">
        <f>T68</f>
        <v>1000</v>
      </c>
      <c r="W48" s="249"/>
      <c r="X48" s="248">
        <f>V68</f>
        <v>1000</v>
      </c>
      <c r="Y48" s="249"/>
      <c r="Z48" s="248">
        <f>X68</f>
        <v>1000</v>
      </c>
      <c r="AA48" s="249"/>
      <c r="AB48" s="250">
        <f>D48</f>
        <v>1000</v>
      </c>
      <c r="AD48" s="152"/>
      <c r="AE48" s="152"/>
      <c r="AF48" s="152"/>
      <c r="AG48" s="152"/>
      <c r="AH48" s="152"/>
      <c r="AI48" s="152"/>
      <c r="AJ48" s="152"/>
    </row>
    <row r="49" spans="1:36" ht="15" customHeight="1" x14ac:dyDescent="0.35">
      <c r="A49" s="142"/>
      <c r="B49" s="162"/>
      <c r="C49" s="163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69" t="s">
        <v>323</v>
      </c>
      <c r="AD49" s="152"/>
      <c r="AE49" s="152"/>
      <c r="AF49" s="152"/>
      <c r="AG49" s="152"/>
      <c r="AH49" s="152"/>
      <c r="AI49" s="152"/>
      <c r="AJ49" s="152"/>
    </row>
    <row r="50" spans="1:36" ht="19.5" customHeight="1" x14ac:dyDescent="0.35">
      <c r="A50" s="142" t="s">
        <v>324</v>
      </c>
      <c r="B50" s="35" t="s">
        <v>325</v>
      </c>
      <c r="C50" s="163"/>
      <c r="D50" s="248">
        <f>D46+D48</f>
        <v>1000</v>
      </c>
      <c r="E50" s="249"/>
      <c r="F50" s="248">
        <f>F46+F48</f>
        <v>1000</v>
      </c>
      <c r="G50" s="249"/>
      <c r="H50" s="248">
        <f>H46+H48</f>
        <v>1000</v>
      </c>
      <c r="I50" s="249"/>
      <c r="J50" s="248">
        <f>J46+J48</f>
        <v>1000</v>
      </c>
      <c r="K50" s="249"/>
      <c r="L50" s="248">
        <f>L46+L48</f>
        <v>1000</v>
      </c>
      <c r="M50" s="249"/>
      <c r="N50" s="248">
        <f>N46+N48</f>
        <v>1000</v>
      </c>
      <c r="O50" s="249"/>
      <c r="P50" s="248">
        <f>P46+P48</f>
        <v>1000</v>
      </c>
      <c r="Q50" s="249"/>
      <c r="R50" s="248">
        <f>R46+R48</f>
        <v>1000</v>
      </c>
      <c r="S50" s="249"/>
      <c r="T50" s="248">
        <f>T46+T48</f>
        <v>1000</v>
      </c>
      <c r="U50" s="249"/>
      <c r="V50" s="248">
        <f>V46+V48</f>
        <v>1000</v>
      </c>
      <c r="W50" s="249"/>
      <c r="X50" s="248">
        <f>X46+X48</f>
        <v>1000</v>
      </c>
      <c r="Y50" s="249"/>
      <c r="Z50" s="248">
        <f>Z46+Z48</f>
        <v>1000</v>
      </c>
      <c r="AA50" s="249"/>
      <c r="AB50" s="250">
        <f>AB46+AB48</f>
        <v>1000</v>
      </c>
      <c r="AD50" s="152"/>
      <c r="AE50" s="152"/>
      <c r="AF50" s="152"/>
      <c r="AG50" s="152"/>
      <c r="AH50" s="152"/>
      <c r="AI50" s="152"/>
      <c r="AJ50" s="152"/>
    </row>
    <row r="51" spans="1:36" ht="15.5" x14ac:dyDescent="0.35">
      <c r="A51" s="142"/>
      <c r="B51" s="173" t="s">
        <v>326</v>
      </c>
      <c r="C51" s="163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69" t="s">
        <v>327</v>
      </c>
      <c r="AD51" s="152"/>
      <c r="AE51" s="152"/>
      <c r="AF51" s="152"/>
      <c r="AG51" s="152"/>
      <c r="AH51" s="152"/>
      <c r="AI51" s="152"/>
      <c r="AJ51" s="152"/>
    </row>
    <row r="52" spans="1:36" ht="15.5" x14ac:dyDescent="0.35">
      <c r="A52" s="142" t="s">
        <v>328</v>
      </c>
      <c r="B52" s="35" t="s">
        <v>329</v>
      </c>
      <c r="C52" s="163"/>
      <c r="D52" s="251">
        <v>1000</v>
      </c>
      <c r="E52" s="252"/>
      <c r="F52" s="248">
        <f>D52</f>
        <v>1000</v>
      </c>
      <c r="G52" s="249"/>
      <c r="H52" s="248">
        <f>F52</f>
        <v>1000</v>
      </c>
      <c r="I52" s="249"/>
      <c r="J52" s="248">
        <f>H52</f>
        <v>1000</v>
      </c>
      <c r="K52" s="249"/>
      <c r="L52" s="248">
        <f>J52</f>
        <v>1000</v>
      </c>
      <c r="M52" s="249"/>
      <c r="N52" s="248">
        <f>L52</f>
        <v>1000</v>
      </c>
      <c r="O52" s="249"/>
      <c r="P52" s="248">
        <f>N52</f>
        <v>1000</v>
      </c>
      <c r="Q52" s="249"/>
      <c r="R52" s="248">
        <f>P52</f>
        <v>1000</v>
      </c>
      <c r="S52" s="249"/>
      <c r="T52" s="248">
        <f>R52</f>
        <v>1000</v>
      </c>
      <c r="U52" s="249"/>
      <c r="V52" s="248">
        <f>T52</f>
        <v>1000</v>
      </c>
      <c r="W52" s="249"/>
      <c r="X52" s="248">
        <f>V52</f>
        <v>1000</v>
      </c>
      <c r="Y52" s="249"/>
      <c r="Z52" s="248">
        <f>X52</f>
        <v>1000</v>
      </c>
      <c r="AA52" s="249"/>
      <c r="AB52" s="270"/>
      <c r="AD52" s="152"/>
      <c r="AE52" s="152"/>
      <c r="AF52" s="152"/>
      <c r="AG52" s="152"/>
      <c r="AH52" s="152"/>
      <c r="AI52" s="152"/>
      <c r="AJ52" s="152"/>
    </row>
    <row r="53" spans="1:36" ht="15" customHeight="1" x14ac:dyDescent="0.35">
      <c r="A53" s="142"/>
      <c r="B53" s="162"/>
      <c r="C53" s="163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70"/>
      <c r="AD53" s="152"/>
      <c r="AE53" s="152"/>
      <c r="AF53" s="152"/>
      <c r="AG53" s="152"/>
      <c r="AH53" s="152"/>
      <c r="AI53" s="152"/>
      <c r="AJ53" s="152"/>
    </row>
    <row r="54" spans="1:36" ht="15.5" x14ac:dyDescent="0.35">
      <c r="A54" s="142" t="s">
        <v>330</v>
      </c>
      <c r="B54" s="35" t="s">
        <v>331</v>
      </c>
      <c r="C54" s="163"/>
      <c r="D54" s="248">
        <f>IF(D50&gt;D52,D50-D52,0)</f>
        <v>0</v>
      </c>
      <c r="E54" s="249"/>
      <c r="F54" s="248">
        <f>IF(F50&gt;F52,F50-F52,0)</f>
        <v>0</v>
      </c>
      <c r="G54" s="249"/>
      <c r="H54" s="248">
        <f>IF(H50&gt;H52,H50-H52,0)</f>
        <v>0</v>
      </c>
      <c r="I54" s="249"/>
      <c r="J54" s="248">
        <f>IF(J50&gt;J52,J50-J52,0)</f>
        <v>0</v>
      </c>
      <c r="K54" s="249"/>
      <c r="L54" s="248">
        <f>IF(L50&gt;L52,L50-L52,0)</f>
        <v>0</v>
      </c>
      <c r="M54" s="249"/>
      <c r="N54" s="248">
        <f>IF(N50&gt;N52,N50-N52,0)</f>
        <v>0</v>
      </c>
      <c r="O54" s="249"/>
      <c r="P54" s="248">
        <f>IF(P50&gt;P52,P50-P52,0)</f>
        <v>0</v>
      </c>
      <c r="Q54" s="249"/>
      <c r="R54" s="248">
        <f>IF(R50&gt;R52,R50-R52,0)</f>
        <v>0</v>
      </c>
      <c r="S54" s="249"/>
      <c r="T54" s="248">
        <f>IF(T50&gt;T52,T50-T52,0)</f>
        <v>0</v>
      </c>
      <c r="U54" s="249"/>
      <c r="V54" s="248">
        <f>IF(V50&gt;V52,V50-V52,0)</f>
        <v>0</v>
      </c>
      <c r="W54" s="249"/>
      <c r="X54" s="248">
        <f>IF(X50&gt;X52,X50-X52,0)</f>
        <v>0</v>
      </c>
      <c r="Y54" s="249"/>
      <c r="Z54" s="248">
        <f>IF(Z50&gt;Z52,Z50-Z52,0)</f>
        <v>0</v>
      </c>
      <c r="AA54" s="249"/>
      <c r="AB54" s="270"/>
      <c r="AD54" s="152"/>
      <c r="AE54" s="152"/>
      <c r="AF54" s="152"/>
      <c r="AG54" s="152"/>
      <c r="AH54" s="152"/>
      <c r="AI54" s="152"/>
      <c r="AJ54" s="152"/>
    </row>
    <row r="55" spans="1:36" ht="15" customHeight="1" x14ac:dyDescent="0.35">
      <c r="A55" s="142"/>
      <c r="B55" s="173" t="s">
        <v>332</v>
      </c>
      <c r="C55" s="163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70"/>
      <c r="AD55" s="152"/>
      <c r="AE55" s="152"/>
      <c r="AF55" s="152"/>
      <c r="AG55" s="152"/>
      <c r="AH55" s="152"/>
      <c r="AI55" s="152"/>
      <c r="AJ55" s="152"/>
    </row>
    <row r="56" spans="1:36" ht="15.75" customHeight="1" x14ac:dyDescent="0.35">
      <c r="A56" s="142" t="s">
        <v>333</v>
      </c>
      <c r="B56" s="35" t="s">
        <v>334</v>
      </c>
      <c r="C56" s="174">
        <v>0.06</v>
      </c>
      <c r="D56" s="248">
        <f>IF(D52&gt;D50,D52-D50,0)</f>
        <v>0</v>
      </c>
      <c r="E56" s="249"/>
      <c r="F56" s="248">
        <f>IF(F52&gt;F50,F52-F50,0)</f>
        <v>0</v>
      </c>
      <c r="G56" s="249"/>
      <c r="H56" s="248">
        <f>IF(H52&gt;H50,H52-H50,0)</f>
        <v>0</v>
      </c>
      <c r="I56" s="249"/>
      <c r="J56" s="248">
        <f>IF(J52&gt;J50,J52-J50,0)</f>
        <v>0</v>
      </c>
      <c r="K56" s="249"/>
      <c r="L56" s="248">
        <f>IF(L52&gt;L50,L52-L50,0)</f>
        <v>0</v>
      </c>
      <c r="M56" s="249"/>
      <c r="N56" s="248">
        <f>IF(N52&gt;N50,N52-N50,0)</f>
        <v>0</v>
      </c>
      <c r="O56" s="249"/>
      <c r="P56" s="248">
        <f>IF(P52&gt;P50,P52-P50,0)</f>
        <v>0</v>
      </c>
      <c r="Q56" s="249"/>
      <c r="R56" s="248">
        <f>IF(R52&gt;R50,R52-R50,0)</f>
        <v>0</v>
      </c>
      <c r="S56" s="249"/>
      <c r="T56" s="248">
        <f>IF(T52&gt;T50,T52-T50,0)</f>
        <v>0</v>
      </c>
      <c r="U56" s="249"/>
      <c r="V56" s="248">
        <f>IF(V52&gt;V50,V52-V50,0)</f>
        <v>0</v>
      </c>
      <c r="W56" s="249"/>
      <c r="X56" s="248">
        <f>IF(X52&gt;X50,X52-X50,0)</f>
        <v>0</v>
      </c>
      <c r="Y56" s="249"/>
      <c r="Z56" s="248">
        <f>IF(Z52&gt;Z50,Z52-Z50,0)</f>
        <v>0</v>
      </c>
      <c r="AA56" s="249"/>
      <c r="AB56" s="250">
        <f>SUM(D56:Z56)</f>
        <v>0</v>
      </c>
      <c r="AD56" s="152"/>
      <c r="AE56" s="152"/>
      <c r="AF56" s="152"/>
      <c r="AG56" s="152"/>
      <c r="AH56" s="152"/>
      <c r="AI56" s="152"/>
      <c r="AJ56" s="152"/>
    </row>
    <row r="57" spans="1:36" ht="18" customHeight="1" x14ac:dyDescent="0.35">
      <c r="A57" s="142"/>
      <c r="B57" s="173" t="s">
        <v>335</v>
      </c>
      <c r="C57" s="162"/>
      <c r="D57" s="271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72" t="s">
        <v>336</v>
      </c>
      <c r="AD57" s="152"/>
      <c r="AE57" s="152"/>
      <c r="AF57" s="152"/>
      <c r="AG57" s="152"/>
      <c r="AH57" s="152"/>
      <c r="AI57" s="152"/>
      <c r="AJ57" s="152"/>
    </row>
    <row r="58" spans="1:36" ht="15.5" x14ac:dyDescent="0.35">
      <c r="A58" s="142" t="s">
        <v>337</v>
      </c>
      <c r="B58" s="35" t="s">
        <v>338</v>
      </c>
      <c r="C58" s="280">
        <v>0</v>
      </c>
      <c r="D58" s="273">
        <f>C58+D56</f>
        <v>0</v>
      </c>
      <c r="E58" s="249"/>
      <c r="F58" s="248">
        <f>D58-D66+F56</f>
        <v>0</v>
      </c>
      <c r="G58" s="249"/>
      <c r="H58" s="248">
        <f>F58-F66+H56</f>
        <v>0</v>
      </c>
      <c r="I58" s="249"/>
      <c r="J58" s="248">
        <f>H58-H66+J56</f>
        <v>0</v>
      </c>
      <c r="K58" s="249"/>
      <c r="L58" s="248">
        <f>J58-J66+L56</f>
        <v>0</v>
      </c>
      <c r="M58" s="249"/>
      <c r="N58" s="248">
        <f>L58-L66+N56</f>
        <v>0</v>
      </c>
      <c r="O58" s="249"/>
      <c r="P58" s="248">
        <f>N58-N66+P56</f>
        <v>0</v>
      </c>
      <c r="Q58" s="249"/>
      <c r="R58" s="248">
        <f>P58-P66+R56</f>
        <v>0</v>
      </c>
      <c r="S58" s="249"/>
      <c r="T58" s="248">
        <f>R58-R66+T56</f>
        <v>0</v>
      </c>
      <c r="U58" s="249"/>
      <c r="V58" s="248">
        <f>T58-T66+V56</f>
        <v>0</v>
      </c>
      <c r="W58" s="249"/>
      <c r="X58" s="248">
        <f>V58-V66+X56</f>
        <v>0</v>
      </c>
      <c r="Y58" s="249"/>
      <c r="Z58" s="248">
        <f>X58-X66+Z56</f>
        <v>0</v>
      </c>
      <c r="AA58" s="249"/>
      <c r="AB58" s="274">
        <f>Z58-Z66</f>
        <v>0</v>
      </c>
      <c r="AD58" s="152"/>
      <c r="AE58" s="152"/>
      <c r="AF58" s="152"/>
      <c r="AG58" s="152"/>
      <c r="AH58" s="152"/>
      <c r="AI58" s="152"/>
      <c r="AJ58" s="152"/>
    </row>
    <row r="59" spans="1:36" ht="23.25" customHeight="1" x14ac:dyDescent="0.35">
      <c r="A59" s="142"/>
      <c r="B59" s="364" t="s">
        <v>373</v>
      </c>
      <c r="C59" s="365"/>
      <c r="D59" s="275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72" t="s">
        <v>340</v>
      </c>
      <c r="AD59" s="152"/>
      <c r="AE59" s="152"/>
      <c r="AF59" s="152"/>
      <c r="AG59" s="152"/>
      <c r="AH59" s="152"/>
      <c r="AI59" s="152"/>
      <c r="AJ59" s="152"/>
    </row>
    <row r="60" spans="1:36" ht="15.5" x14ac:dyDescent="0.35">
      <c r="A60" s="142" t="s">
        <v>341</v>
      </c>
      <c r="B60" s="35" t="s">
        <v>342</v>
      </c>
      <c r="C60" s="280">
        <v>0</v>
      </c>
      <c r="D60" s="276">
        <f>D58*$C$56/12+C60</f>
        <v>0</v>
      </c>
      <c r="E60" s="277"/>
      <c r="F60" s="278">
        <f>F58*$C$56/12+D60-D62</f>
        <v>0</v>
      </c>
      <c r="G60" s="277"/>
      <c r="H60" s="278">
        <f>H58*$C$56/12+F60-F62</f>
        <v>0</v>
      </c>
      <c r="I60" s="277"/>
      <c r="J60" s="278">
        <f>J58*$C$56/12+H60-H62</f>
        <v>0</v>
      </c>
      <c r="K60" s="277"/>
      <c r="L60" s="278">
        <f>L58*$C$56/12+J60-J62</f>
        <v>0</v>
      </c>
      <c r="M60" s="277"/>
      <c r="N60" s="278">
        <f>N58*$C$56/12+L60-L62</f>
        <v>0</v>
      </c>
      <c r="O60" s="277"/>
      <c r="P60" s="278">
        <f>P58*$C$56/12+N60-N62</f>
        <v>0</v>
      </c>
      <c r="Q60" s="277"/>
      <c r="R60" s="278">
        <f>R58*$C$56/12+P60-P62</f>
        <v>0</v>
      </c>
      <c r="S60" s="277"/>
      <c r="T60" s="278">
        <f>T58*$C$56/12+R60-R62</f>
        <v>0</v>
      </c>
      <c r="U60" s="277"/>
      <c r="V60" s="278">
        <f>V58*$C$56/12+T60-T62</f>
        <v>0</v>
      </c>
      <c r="W60" s="277"/>
      <c r="X60" s="278">
        <f>X58*$C$56/12+V60-V62</f>
        <v>0</v>
      </c>
      <c r="Y60" s="277"/>
      <c r="Z60" s="278">
        <f>Z58*$C$56/12+X60-X62</f>
        <v>0</v>
      </c>
      <c r="AA60" s="277"/>
      <c r="AB60" s="274">
        <f>Z60-Z62</f>
        <v>0</v>
      </c>
      <c r="AD60" s="152"/>
      <c r="AE60" s="152"/>
      <c r="AF60" s="152"/>
      <c r="AG60" s="152"/>
      <c r="AH60" s="152"/>
      <c r="AI60" s="152"/>
      <c r="AJ60" s="152"/>
    </row>
    <row r="61" spans="1:36" ht="22.5" customHeight="1" x14ac:dyDescent="0.35">
      <c r="A61" s="142"/>
      <c r="B61" s="40" t="s">
        <v>372</v>
      </c>
      <c r="C61" s="162"/>
      <c r="D61" s="275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72" t="s">
        <v>344</v>
      </c>
      <c r="AD61" s="152"/>
      <c r="AE61" s="152"/>
      <c r="AF61" s="152"/>
      <c r="AG61" s="152"/>
      <c r="AH61" s="152"/>
      <c r="AI61" s="152"/>
      <c r="AJ61" s="152"/>
    </row>
    <row r="62" spans="1:36" ht="15.5" x14ac:dyDescent="0.35">
      <c r="A62" s="142" t="s">
        <v>345</v>
      </c>
      <c r="B62" s="35" t="s">
        <v>346</v>
      </c>
      <c r="C62" s="175"/>
      <c r="D62" s="248">
        <f>IF(D54&gt;D60,D60,D54)</f>
        <v>0</v>
      </c>
      <c r="E62" s="249"/>
      <c r="F62" s="248">
        <f>IF(F54&gt;F60,F60,F54)</f>
        <v>0</v>
      </c>
      <c r="G62" s="249"/>
      <c r="H62" s="248">
        <f>IF(H54&gt;H60,H60,H54)</f>
        <v>0</v>
      </c>
      <c r="I62" s="249"/>
      <c r="J62" s="248">
        <f>IF(J54&gt;J60,J60,J54)</f>
        <v>0</v>
      </c>
      <c r="K62" s="249"/>
      <c r="L62" s="248">
        <f>IF(L54&gt;L60,L60,L54)</f>
        <v>0</v>
      </c>
      <c r="M62" s="249"/>
      <c r="N62" s="248">
        <f>IF(N54&gt;N60,N60,N54)</f>
        <v>0</v>
      </c>
      <c r="O62" s="249"/>
      <c r="P62" s="248">
        <f>IF(P54&gt;P60,P60,P54)</f>
        <v>0</v>
      </c>
      <c r="Q62" s="249"/>
      <c r="R62" s="248">
        <f>IF(R54&gt;R60,R60,R54)</f>
        <v>0</v>
      </c>
      <c r="S62" s="249"/>
      <c r="T62" s="248">
        <f>IF(T54&gt;T60,T60,T54)</f>
        <v>0</v>
      </c>
      <c r="U62" s="249"/>
      <c r="V62" s="248">
        <f>IF(V54&gt;V60,V60,V54)</f>
        <v>0</v>
      </c>
      <c r="W62" s="249"/>
      <c r="X62" s="248">
        <f>IF(X54&gt;X60,X60,X54)</f>
        <v>0</v>
      </c>
      <c r="Y62" s="249"/>
      <c r="Z62" s="248">
        <f>IF(Z54&gt;Z60,Z60,Z54)</f>
        <v>0</v>
      </c>
      <c r="AA62" s="249"/>
      <c r="AB62" s="250">
        <f>SUM(D62:Z62)</f>
        <v>0</v>
      </c>
      <c r="AD62" s="152"/>
      <c r="AE62" s="152"/>
      <c r="AF62" s="152"/>
      <c r="AG62" s="152"/>
      <c r="AH62" s="152"/>
      <c r="AI62" s="152"/>
      <c r="AJ62" s="152"/>
    </row>
    <row r="63" spans="1:36" ht="15" customHeight="1" x14ac:dyDescent="0.35">
      <c r="A63" s="142"/>
      <c r="B63" s="173" t="s">
        <v>347</v>
      </c>
      <c r="C63" s="176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72" t="s">
        <v>348</v>
      </c>
      <c r="AD63" s="152"/>
      <c r="AE63" s="152"/>
      <c r="AF63" s="152"/>
      <c r="AG63" s="152"/>
      <c r="AH63" s="152"/>
      <c r="AI63" s="152"/>
      <c r="AJ63" s="152"/>
    </row>
    <row r="64" spans="1:36" ht="15.5" x14ac:dyDescent="0.35">
      <c r="A64" s="142" t="s">
        <v>349</v>
      </c>
      <c r="B64" s="35" t="s">
        <v>350</v>
      </c>
      <c r="C64" s="163"/>
      <c r="D64" s="248">
        <f>D54-D62</f>
        <v>0</v>
      </c>
      <c r="E64" s="252"/>
      <c r="F64" s="248">
        <f>F54-F62</f>
        <v>0</v>
      </c>
      <c r="G64" s="252"/>
      <c r="H64" s="248">
        <f>H54-H62</f>
        <v>0</v>
      </c>
      <c r="I64" s="252"/>
      <c r="J64" s="248">
        <f>J54-J62</f>
        <v>0</v>
      </c>
      <c r="K64" s="252"/>
      <c r="L64" s="248">
        <f>L54-L62</f>
        <v>0</v>
      </c>
      <c r="M64" s="252"/>
      <c r="N64" s="248">
        <f>N54-N62</f>
        <v>0</v>
      </c>
      <c r="O64" s="252"/>
      <c r="P64" s="248">
        <f>P54-P62</f>
        <v>0</v>
      </c>
      <c r="Q64" s="252"/>
      <c r="R64" s="248">
        <f>R54-R62</f>
        <v>0</v>
      </c>
      <c r="S64" s="252"/>
      <c r="T64" s="248">
        <f>T54-T62</f>
        <v>0</v>
      </c>
      <c r="U64" s="252"/>
      <c r="V64" s="248">
        <f>V54-V62</f>
        <v>0</v>
      </c>
      <c r="W64" s="252"/>
      <c r="X64" s="248">
        <f>X54-X62</f>
        <v>0</v>
      </c>
      <c r="Y64" s="252"/>
      <c r="Z64" s="248">
        <f>Z54-Z62</f>
        <v>0</v>
      </c>
      <c r="AA64" s="277"/>
      <c r="AB64" s="279"/>
      <c r="AD64" s="152"/>
      <c r="AE64" s="152"/>
      <c r="AF64" s="152"/>
      <c r="AG64" s="152"/>
      <c r="AH64" s="152"/>
      <c r="AI64" s="152"/>
      <c r="AJ64" s="152"/>
    </row>
    <row r="65" spans="1:28" ht="15" customHeight="1" x14ac:dyDescent="0.35">
      <c r="A65" s="142"/>
      <c r="B65" s="173" t="s">
        <v>351</v>
      </c>
      <c r="C65" s="163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70"/>
    </row>
    <row r="66" spans="1:28" ht="15.5" x14ac:dyDescent="0.35">
      <c r="A66" s="142" t="s">
        <v>352</v>
      </c>
      <c r="B66" s="35" t="s">
        <v>353</v>
      </c>
      <c r="C66" s="163"/>
      <c r="D66" s="248">
        <f>IF(D64&gt;D58,D58,D64)</f>
        <v>0</v>
      </c>
      <c r="E66" s="249"/>
      <c r="F66" s="248">
        <f>IF(F64&gt;F58,F58,F64)</f>
        <v>0</v>
      </c>
      <c r="G66" s="249"/>
      <c r="H66" s="248">
        <f>IF(H64&gt;H58,H58,H64)</f>
        <v>0</v>
      </c>
      <c r="I66" s="249"/>
      <c r="J66" s="248">
        <f>IF(J64&gt;J58,J58,J64)</f>
        <v>0</v>
      </c>
      <c r="K66" s="249"/>
      <c r="L66" s="248">
        <f>IF(L64&gt;L58,L58,L64)</f>
        <v>0</v>
      </c>
      <c r="M66" s="249"/>
      <c r="N66" s="248">
        <f>IF(N64&gt;N58,N58,N64)</f>
        <v>0</v>
      </c>
      <c r="O66" s="249"/>
      <c r="P66" s="248">
        <f>IF(P64&gt;P58,P58,P64)</f>
        <v>0</v>
      </c>
      <c r="Q66" s="249"/>
      <c r="R66" s="248">
        <f>IF(R64&gt;R58,R58,R64)</f>
        <v>0</v>
      </c>
      <c r="S66" s="249"/>
      <c r="T66" s="248">
        <f>IF(T64&gt;T58,T58,T64)</f>
        <v>0</v>
      </c>
      <c r="U66" s="249"/>
      <c r="V66" s="248">
        <f>IF(V64&gt;V58,V58,V64)</f>
        <v>0</v>
      </c>
      <c r="W66" s="249"/>
      <c r="X66" s="248">
        <f>IF(X64&gt;X58,X58,X64)</f>
        <v>0</v>
      </c>
      <c r="Y66" s="249"/>
      <c r="Z66" s="248">
        <f>IF(Z64&gt;Z58,Z58,Z64)</f>
        <v>0</v>
      </c>
      <c r="AA66" s="249"/>
      <c r="AB66" s="250">
        <f>SUM(D66:Z66)</f>
        <v>0</v>
      </c>
    </row>
    <row r="67" spans="1:28" ht="13" x14ac:dyDescent="0.3">
      <c r="A67" s="142"/>
      <c r="B67" s="173" t="s">
        <v>354</v>
      </c>
      <c r="C67" s="163"/>
      <c r="D67" s="257"/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72" t="s">
        <v>355</v>
      </c>
    </row>
    <row r="68" spans="1:28" ht="15.5" x14ac:dyDescent="0.35">
      <c r="A68" s="142" t="s">
        <v>356</v>
      </c>
      <c r="B68" s="35" t="s">
        <v>357</v>
      </c>
      <c r="C68" s="175"/>
      <c r="D68" s="248">
        <f>D50+D56-D62-D66</f>
        <v>1000</v>
      </c>
      <c r="E68" s="249"/>
      <c r="F68" s="248">
        <f>F50+F56-F62-F66</f>
        <v>1000</v>
      </c>
      <c r="G68" s="249"/>
      <c r="H68" s="248">
        <f>H50+H56-H62-H66</f>
        <v>1000</v>
      </c>
      <c r="I68" s="249"/>
      <c r="J68" s="248">
        <f>J50+J56-J62-J66</f>
        <v>1000</v>
      </c>
      <c r="K68" s="249"/>
      <c r="L68" s="248">
        <f>L50+L56-L62-L66</f>
        <v>1000</v>
      </c>
      <c r="M68" s="249"/>
      <c r="N68" s="248">
        <f>N50+N56-N62-N66</f>
        <v>1000</v>
      </c>
      <c r="O68" s="249"/>
      <c r="P68" s="248">
        <f>P50+P56-P62-P66</f>
        <v>1000</v>
      </c>
      <c r="Q68" s="249"/>
      <c r="R68" s="248">
        <f>R50+R56-R62-R66</f>
        <v>1000</v>
      </c>
      <c r="S68" s="249"/>
      <c r="T68" s="248">
        <f>T50+T56-T62-T66</f>
        <v>1000</v>
      </c>
      <c r="U68" s="249"/>
      <c r="V68" s="248">
        <f>V50+V56-V62-V66</f>
        <v>1000</v>
      </c>
      <c r="W68" s="249"/>
      <c r="X68" s="248">
        <f>X50+X56-X62-X66</f>
        <v>1000</v>
      </c>
      <c r="Y68" s="249"/>
      <c r="Z68" s="248">
        <f>Z50+Z56-Z62-Z66</f>
        <v>1000</v>
      </c>
      <c r="AA68" s="249"/>
      <c r="AB68" s="250">
        <f>AB50+AB56-AB62-AB66</f>
        <v>1000</v>
      </c>
    </row>
    <row r="69" spans="1:28" ht="13" thickBot="1" x14ac:dyDescent="0.3">
      <c r="A69" s="177"/>
      <c r="B69" s="178" t="s">
        <v>358</v>
      </c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1" t="s">
        <v>359</v>
      </c>
    </row>
  </sheetData>
  <mergeCells count="3">
    <mergeCell ref="A1:AB1"/>
    <mergeCell ref="A3:B3"/>
    <mergeCell ref="B59:C59"/>
  </mergeCells>
  <printOptions horizontalCentered="1"/>
  <pageMargins left="0.75" right="0.75" top="0.75" bottom="0.75" header="0" footer="0"/>
  <pageSetup scale="34" orientation="landscape" horizontalDpi="4294967293" vertic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8A97-5A92-411F-AAA2-8447B56B19F0}">
  <sheetPr>
    <pageSetUpPr fitToPage="1"/>
  </sheetPr>
  <dimension ref="A1:K48"/>
  <sheetViews>
    <sheetView showGridLines="0" topLeftCell="A25" zoomScaleNormal="100" workbookViewId="0">
      <selection activeCell="I28" sqref="I28"/>
    </sheetView>
  </sheetViews>
  <sheetFormatPr defaultColWidth="9.1796875" defaultRowHeight="15.5" x14ac:dyDescent="0.35"/>
  <cols>
    <col min="1" max="1" width="2.453125" style="2" customWidth="1"/>
    <col min="2" max="2" width="47.54296875" style="5" customWidth="1"/>
    <col min="3" max="3" width="13.54296875" style="5" customWidth="1"/>
    <col min="4" max="4" width="7.26953125" style="5" customWidth="1"/>
    <col min="5" max="5" width="13.54296875" style="5" customWidth="1"/>
    <col min="6" max="6" width="4.26953125" style="5" customWidth="1"/>
    <col min="7" max="7" width="13.54296875" style="2" customWidth="1"/>
    <col min="8" max="16384" width="9.1796875" style="5"/>
  </cols>
  <sheetData>
    <row r="1" spans="1:8" ht="28.5" customHeight="1" x14ac:dyDescent="0.35">
      <c r="A1" s="367" t="s">
        <v>406</v>
      </c>
      <c r="B1" s="367"/>
      <c r="C1" s="367"/>
      <c r="D1" s="367"/>
      <c r="E1" s="367"/>
      <c r="F1" s="367"/>
      <c r="G1" s="367"/>
      <c r="H1" s="5">
        <v>2020</v>
      </c>
    </row>
    <row r="2" spans="1:8" ht="12" customHeight="1" x14ac:dyDescent="0.35">
      <c r="A2" s="281"/>
      <c r="B2" s="282"/>
      <c r="C2" s="282"/>
      <c r="D2" s="282"/>
      <c r="E2" s="282"/>
      <c r="F2" s="282"/>
      <c r="G2" s="281"/>
    </row>
    <row r="3" spans="1:8" ht="18" customHeight="1" x14ac:dyDescent="0.35">
      <c r="A3" s="2" t="s">
        <v>407</v>
      </c>
      <c r="G3" s="283">
        <v>5435150</v>
      </c>
    </row>
    <row r="4" spans="1:8" x14ac:dyDescent="0.35">
      <c r="C4" s="4" t="s">
        <v>408</v>
      </c>
      <c r="D4" s="4" t="s">
        <v>409</v>
      </c>
      <c r="E4" s="4" t="s">
        <v>410</v>
      </c>
      <c r="F4" s="4"/>
      <c r="G4" s="284"/>
    </row>
    <row r="5" spans="1:8" ht="20.149999999999999" customHeight="1" x14ac:dyDescent="0.35">
      <c r="A5" s="285"/>
      <c r="B5" s="286" t="s">
        <v>411</v>
      </c>
      <c r="C5" s="287"/>
      <c r="D5" s="288"/>
      <c r="E5" s="287"/>
      <c r="F5" s="289" t="s">
        <v>266</v>
      </c>
      <c r="G5" s="290" t="str">
        <f>IF(AND(C5="",E5=""),"",C5-E5)</f>
        <v/>
      </c>
    </row>
    <row r="6" spans="1:8" ht="20.149999999999999" customHeight="1" x14ac:dyDescent="0.35">
      <c r="A6" s="285"/>
      <c r="B6" s="286" t="s">
        <v>412</v>
      </c>
      <c r="C6" s="291"/>
      <c r="D6" s="288"/>
      <c r="E6" s="291"/>
      <c r="F6" s="289" t="s">
        <v>266</v>
      </c>
      <c r="G6" s="290" t="str">
        <f>IF(AND(C6="",E6=""),"",C6-E6)</f>
        <v/>
      </c>
    </row>
    <row r="7" spans="1:8" ht="20.149999999999999" customHeight="1" x14ac:dyDescent="0.35">
      <c r="A7" s="285"/>
      <c r="B7" s="286" t="s">
        <v>413</v>
      </c>
      <c r="C7" s="292"/>
      <c r="D7" s="293"/>
      <c r="E7" s="293"/>
      <c r="F7" s="289" t="s">
        <v>266</v>
      </c>
      <c r="G7" s="287"/>
    </row>
    <row r="8" spans="1:8" ht="20.149999999999999" customHeight="1" x14ac:dyDescent="0.35">
      <c r="A8" s="285"/>
      <c r="B8" s="286" t="s">
        <v>414</v>
      </c>
      <c r="C8" s="292"/>
      <c r="D8" s="293"/>
      <c r="E8" s="293"/>
      <c r="F8" s="289" t="s">
        <v>266</v>
      </c>
      <c r="G8" s="287"/>
    </row>
    <row r="9" spans="1:8" ht="20.149999999999999" customHeight="1" x14ac:dyDescent="0.35">
      <c r="A9" s="285"/>
      <c r="B9" s="286" t="s">
        <v>415</v>
      </c>
      <c r="C9" s="293"/>
      <c r="D9" s="293"/>
      <c r="E9" s="293"/>
      <c r="F9" s="289" t="s">
        <v>266</v>
      </c>
      <c r="G9" s="287"/>
    </row>
    <row r="10" spans="1:8" ht="6.75" customHeight="1" x14ac:dyDescent="0.35">
      <c r="B10" s="77"/>
      <c r="G10" s="294"/>
    </row>
    <row r="11" spans="1:8" ht="20.149999999999999" customHeight="1" x14ac:dyDescent="0.35">
      <c r="A11" s="2" t="s">
        <v>416</v>
      </c>
      <c r="C11" s="4" t="s">
        <v>417</v>
      </c>
      <c r="D11" s="4" t="s">
        <v>409</v>
      </c>
      <c r="E11" s="4" t="s">
        <v>418</v>
      </c>
      <c r="F11" s="4"/>
      <c r="G11" s="284"/>
    </row>
    <row r="12" spans="1:8" ht="20.149999999999999" customHeight="1" x14ac:dyDescent="0.35">
      <c r="B12" s="77" t="s">
        <v>419</v>
      </c>
      <c r="C12" s="283">
        <v>129543</v>
      </c>
      <c r="D12" s="295"/>
      <c r="E12" s="283">
        <v>274075</v>
      </c>
      <c r="F12" s="296" t="s">
        <v>266</v>
      </c>
      <c r="G12" s="297">
        <f t="shared" ref="G12:G14" si="0">IF(AND(C12="",E12=""),"",C12-E12)</f>
        <v>-144532</v>
      </c>
    </row>
    <row r="13" spans="1:8" ht="20.149999999999999" customHeight="1" x14ac:dyDescent="0.35">
      <c r="B13" s="77" t="s">
        <v>420</v>
      </c>
      <c r="C13" s="283">
        <v>1107436</v>
      </c>
      <c r="D13" s="295"/>
      <c r="E13" s="283">
        <v>811867</v>
      </c>
      <c r="F13" s="296" t="s">
        <v>266</v>
      </c>
      <c r="G13" s="297">
        <f t="shared" si="0"/>
        <v>295569</v>
      </c>
    </row>
    <row r="14" spans="1:8" ht="20.149999999999999" customHeight="1" x14ac:dyDescent="0.35">
      <c r="B14" s="77" t="s">
        <v>421</v>
      </c>
      <c r="C14" s="298">
        <v>9990</v>
      </c>
      <c r="D14" s="295"/>
      <c r="E14" s="298">
        <v>0</v>
      </c>
      <c r="F14" s="296" t="s">
        <v>266</v>
      </c>
      <c r="G14" s="297">
        <f t="shared" si="0"/>
        <v>9990</v>
      </c>
    </row>
    <row r="15" spans="1:8" ht="12" customHeight="1" x14ac:dyDescent="0.35">
      <c r="B15" s="77"/>
      <c r="C15" s="299"/>
      <c r="E15" s="299"/>
      <c r="F15" s="299"/>
      <c r="G15" s="300"/>
    </row>
    <row r="16" spans="1:8" ht="20.149999999999999" customHeight="1" thickBot="1" x14ac:dyDescent="0.4">
      <c r="A16" s="301" t="s">
        <v>422</v>
      </c>
      <c r="G16" s="302">
        <f>IF(SUM(G3:G14)=0,"",SUM(G3:G14))</f>
        <v>5596177</v>
      </c>
    </row>
    <row r="17" spans="1:7" ht="6" customHeight="1" x14ac:dyDescent="0.35">
      <c r="A17" s="301"/>
      <c r="G17" s="303"/>
    </row>
    <row r="18" spans="1:7" ht="12" customHeight="1" x14ac:dyDescent="0.35">
      <c r="A18" s="281"/>
      <c r="B18" s="282"/>
      <c r="C18" s="282"/>
      <c r="D18" s="282"/>
      <c r="E18" s="282"/>
      <c r="F18" s="282"/>
      <c r="G18" s="304"/>
    </row>
    <row r="19" spans="1:7" ht="17.25" customHeight="1" x14ac:dyDescent="0.35">
      <c r="A19" s="2" t="s">
        <v>423</v>
      </c>
      <c r="G19" s="283">
        <v>5370770</v>
      </c>
    </row>
    <row r="20" spans="1:7" ht="19.5" customHeight="1" x14ac:dyDescent="0.35">
      <c r="A20" s="301" t="s">
        <v>424</v>
      </c>
      <c r="F20" s="305" t="s">
        <v>425</v>
      </c>
      <c r="G20" s="298">
        <v>444990</v>
      </c>
    </row>
    <row r="21" spans="1:7" ht="19.5" customHeight="1" x14ac:dyDescent="0.35">
      <c r="A21" s="301" t="s">
        <v>426</v>
      </c>
      <c r="F21" s="305" t="s">
        <v>2</v>
      </c>
      <c r="G21" s="306">
        <f>IF(OR(G19="",G20=""),"",G19-G20)</f>
        <v>4925780</v>
      </c>
    </row>
    <row r="22" spans="1:7" ht="20.149999999999999" customHeight="1" x14ac:dyDescent="0.35">
      <c r="A22" s="301" t="s">
        <v>427</v>
      </c>
      <c r="F22" s="296" t="s">
        <v>266</v>
      </c>
      <c r="G22" s="298">
        <v>444990</v>
      </c>
    </row>
    <row r="23" spans="1:7" ht="14.25" customHeight="1" x14ac:dyDescent="0.35">
      <c r="A23" s="5"/>
      <c r="F23" s="305"/>
      <c r="G23" s="294"/>
    </row>
    <row r="24" spans="1:7" ht="20.149999999999999" customHeight="1" x14ac:dyDescent="0.35">
      <c r="A24" s="2" t="s">
        <v>428</v>
      </c>
      <c r="C24" s="4" t="s">
        <v>417</v>
      </c>
      <c r="D24" s="4" t="s">
        <v>409</v>
      </c>
      <c r="E24" s="4" t="s">
        <v>418</v>
      </c>
      <c r="F24" s="4"/>
      <c r="G24" s="300"/>
    </row>
    <row r="25" spans="1:7" ht="20.149999999999999" customHeight="1" x14ac:dyDescent="0.35">
      <c r="B25" s="77" t="s">
        <v>429</v>
      </c>
      <c r="C25" s="283">
        <v>384201</v>
      </c>
      <c r="D25" s="295"/>
      <c r="E25" s="283">
        <v>417009</v>
      </c>
      <c r="F25" s="296" t="s">
        <v>266</v>
      </c>
      <c r="G25" s="297">
        <f t="shared" ref="G25:G29" si="1">IF(AND(C25="",E25=""),"",C25-E25)</f>
        <v>-32808</v>
      </c>
    </row>
    <row r="26" spans="1:7" ht="20.149999999999999" customHeight="1" x14ac:dyDescent="0.35">
      <c r="B26" s="77" t="s">
        <v>430</v>
      </c>
      <c r="C26" s="298"/>
      <c r="D26" s="295"/>
      <c r="E26" s="298"/>
      <c r="F26" s="296" t="s">
        <v>266</v>
      </c>
      <c r="G26" s="297" t="str">
        <f t="shared" si="1"/>
        <v/>
      </c>
    </row>
    <row r="27" spans="1:7" ht="20.149999999999999" customHeight="1" x14ac:dyDescent="0.35">
      <c r="B27" s="77" t="s">
        <v>431</v>
      </c>
      <c r="C27" s="298"/>
      <c r="D27" s="295"/>
      <c r="E27" s="298"/>
      <c r="F27" s="296" t="s">
        <v>266</v>
      </c>
      <c r="G27" s="297" t="str">
        <f t="shared" si="1"/>
        <v/>
      </c>
    </row>
    <row r="28" spans="1:7" ht="20.149999999999999" customHeight="1" x14ac:dyDescent="0.35">
      <c r="B28" s="77" t="s">
        <v>432</v>
      </c>
      <c r="C28" s="298"/>
      <c r="D28" s="295"/>
      <c r="E28" s="298"/>
      <c r="F28" s="296" t="s">
        <v>266</v>
      </c>
      <c r="G28" s="297" t="str">
        <f t="shared" si="1"/>
        <v/>
      </c>
    </row>
    <row r="29" spans="1:7" ht="20.149999999999999" customHeight="1" x14ac:dyDescent="0.35">
      <c r="B29" s="77" t="s">
        <v>433</v>
      </c>
      <c r="C29" s="298"/>
      <c r="D29" s="295"/>
      <c r="E29" s="298"/>
      <c r="F29" s="296" t="s">
        <v>266</v>
      </c>
      <c r="G29" s="297" t="str">
        <f t="shared" si="1"/>
        <v/>
      </c>
    </row>
    <row r="30" spans="1:7" ht="12" customHeight="1" x14ac:dyDescent="0.35">
      <c r="B30" s="77"/>
      <c r="C30" s="307"/>
      <c r="D30" s="295"/>
      <c r="E30" s="307"/>
      <c r="F30" s="295"/>
      <c r="G30" s="308"/>
    </row>
    <row r="31" spans="1:7" ht="20.149999999999999" customHeight="1" x14ac:dyDescent="0.35">
      <c r="A31" s="2" t="s">
        <v>434</v>
      </c>
      <c r="C31" s="4" t="s">
        <v>417</v>
      </c>
      <c r="D31" s="4" t="s">
        <v>409</v>
      </c>
      <c r="E31" s="4" t="s">
        <v>418</v>
      </c>
      <c r="F31" s="4"/>
      <c r="G31" s="300"/>
    </row>
    <row r="32" spans="1:7" ht="20.149999999999999" customHeight="1" x14ac:dyDescent="0.35">
      <c r="B32" s="77" t="s">
        <v>435</v>
      </c>
      <c r="C32" s="283">
        <v>40000</v>
      </c>
      <c r="D32" s="295"/>
      <c r="E32" s="283">
        <v>0</v>
      </c>
      <c r="F32" s="296" t="s">
        <v>425</v>
      </c>
      <c r="G32" s="297">
        <f t="shared" ref="G32:G35" si="2">IF(AND(C32="",E32=""),"",C32-E32)</f>
        <v>40000</v>
      </c>
    </row>
    <row r="33" spans="1:11" ht="20.149999999999999" customHeight="1" x14ac:dyDescent="0.35">
      <c r="B33" s="77" t="s">
        <v>436</v>
      </c>
      <c r="C33" s="283">
        <v>16000</v>
      </c>
      <c r="D33" s="295"/>
      <c r="E33" s="283">
        <v>16000</v>
      </c>
      <c r="F33" s="309" t="s">
        <v>425</v>
      </c>
      <c r="G33" s="297">
        <f t="shared" si="2"/>
        <v>0</v>
      </c>
      <c r="I33" s="5">
        <v>16000</v>
      </c>
      <c r="K33" s="5">
        <v>20000</v>
      </c>
    </row>
    <row r="34" spans="1:11" ht="20.149999999999999" customHeight="1" x14ac:dyDescent="0.35">
      <c r="B34" s="77" t="s">
        <v>437</v>
      </c>
      <c r="C34" s="283">
        <v>82545</v>
      </c>
      <c r="D34" s="295"/>
      <c r="E34" s="283">
        <v>17750</v>
      </c>
      <c r="F34" s="309" t="s">
        <v>425</v>
      </c>
      <c r="G34" s="297">
        <f t="shared" si="2"/>
        <v>64795</v>
      </c>
      <c r="I34" s="5">
        <v>17750</v>
      </c>
      <c r="K34" s="5">
        <v>25000</v>
      </c>
    </row>
    <row r="35" spans="1:11" ht="20.149999999999999" customHeight="1" thickBot="1" x14ac:dyDescent="0.4">
      <c r="A35" s="310"/>
      <c r="B35" s="311" t="s">
        <v>438</v>
      </c>
      <c r="C35" s="312"/>
      <c r="D35" s="313"/>
      <c r="E35" s="312"/>
      <c r="F35" s="314" t="s">
        <v>425</v>
      </c>
      <c r="G35" s="297" t="str">
        <f t="shared" si="2"/>
        <v/>
      </c>
    </row>
    <row r="36" spans="1:11" ht="20.149999999999999" customHeight="1" thickBot="1" x14ac:dyDescent="0.4">
      <c r="A36" s="301" t="s">
        <v>439</v>
      </c>
      <c r="G36" s="315">
        <f>IF(SUM(G21:G29)-SUM(G32:G35)=0,"",SUM(G21:G29)-SUM(G32:G35))</f>
        <v>5233167</v>
      </c>
    </row>
    <row r="37" spans="1:11" ht="6" customHeight="1" x14ac:dyDescent="0.35">
      <c r="A37" s="301"/>
      <c r="G37" s="303"/>
    </row>
    <row r="38" spans="1:11" ht="12" customHeight="1" x14ac:dyDescent="0.35">
      <c r="A38" s="281"/>
      <c r="B38" s="282"/>
      <c r="C38" s="282"/>
      <c r="D38" s="282"/>
      <c r="E38" s="282"/>
      <c r="F38" s="282"/>
      <c r="G38" s="304"/>
    </row>
    <row r="39" spans="1:11" ht="20.149999999999999" customHeight="1" thickBot="1" x14ac:dyDescent="0.4">
      <c r="A39" s="2" t="s">
        <v>440</v>
      </c>
      <c r="G39" s="316">
        <f>IF(G16="",IF(G36="","",-G36),IF(G36="",G16,G16-G36))</f>
        <v>363010</v>
      </c>
    </row>
    <row r="40" spans="1:11" ht="13.5" customHeight="1" thickTop="1" x14ac:dyDescent="0.35">
      <c r="G40" s="300"/>
    </row>
    <row r="41" spans="1:11" ht="16" thickBot="1" x14ac:dyDescent="0.4">
      <c r="A41" s="2" t="s">
        <v>441</v>
      </c>
      <c r="G41" s="316">
        <f>IF(SUM(G3:G9)-G19=0,"",SUM(G3:G9)-G19)</f>
        <v>64380</v>
      </c>
      <c r="H41"/>
    </row>
    <row r="42" spans="1:11" ht="12.75" customHeight="1" thickTop="1" x14ac:dyDescent="0.35">
      <c r="G42" s="300"/>
      <c r="H42"/>
    </row>
    <row r="43" spans="1:11" x14ac:dyDescent="0.35">
      <c r="A43"/>
      <c r="B43" s="2" t="s">
        <v>442</v>
      </c>
      <c r="G43" s="317">
        <f>IF(OR(G39="",G41=""),"",G39-G41)</f>
        <v>298630</v>
      </c>
      <c r="H43"/>
    </row>
    <row r="44" spans="1:11" ht="4.5" customHeight="1" x14ac:dyDescent="0.35">
      <c r="A44"/>
      <c r="B44"/>
      <c r="C44"/>
      <c r="D44"/>
      <c r="E44"/>
      <c r="F44"/>
      <c r="G44"/>
      <c r="H44"/>
    </row>
    <row r="45" spans="1:11" x14ac:dyDescent="0.35">
      <c r="A45"/>
      <c r="B45" s="5" t="s">
        <v>443</v>
      </c>
      <c r="C45"/>
      <c r="D45"/>
      <c r="E45"/>
      <c r="F45"/>
      <c r="G45"/>
      <c r="H45"/>
    </row>
    <row r="46" spans="1:11" x14ac:dyDescent="0.35">
      <c r="B46" s="77" t="s">
        <v>444</v>
      </c>
    </row>
    <row r="48" spans="1:11" ht="30.5" customHeight="1" x14ac:dyDescent="0.35">
      <c r="B48" s="368" t="s">
        <v>445</v>
      </c>
      <c r="C48" s="368"/>
      <c r="D48" s="368"/>
      <c r="E48" s="368"/>
      <c r="F48" s="368"/>
      <c r="G48" s="368"/>
    </row>
  </sheetData>
  <mergeCells count="2">
    <mergeCell ref="A1:G1"/>
    <mergeCell ref="B48:G48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FAF6-EF4B-4DCE-9124-5DB181E491E9}">
  <dimension ref="A1:R25"/>
  <sheetViews>
    <sheetView showGridLines="0" workbookViewId="0">
      <selection activeCell="E1" sqref="E1"/>
    </sheetView>
  </sheetViews>
  <sheetFormatPr defaultRowHeight="18.5" x14ac:dyDescent="0.45"/>
  <cols>
    <col min="1" max="1" width="34" style="78" customWidth="1"/>
    <col min="2" max="2" width="16.453125" style="78" customWidth="1"/>
    <col min="3" max="3" width="17.54296875" style="78" customWidth="1"/>
    <col min="4" max="4" width="4.54296875" style="78" customWidth="1"/>
    <col min="5" max="5" width="5.1796875" style="3" customWidth="1"/>
    <col min="6" max="6" width="38.90625" style="78" customWidth="1"/>
    <col min="7" max="7" width="16.36328125" style="78" customWidth="1"/>
    <col min="8" max="8" width="16.7265625" style="78" customWidth="1"/>
    <col min="9" max="13" width="8.7265625" style="78"/>
    <col min="14" max="14" width="3.7265625" style="78" customWidth="1"/>
    <col min="15" max="15" width="36.7265625" style="78" customWidth="1"/>
    <col min="16" max="21" width="8.7265625" style="78" customWidth="1"/>
    <col min="22" max="16384" width="8.7265625" style="78"/>
  </cols>
  <sheetData>
    <row r="1" spans="1:18" ht="23.5" x14ac:dyDescent="0.55000000000000004">
      <c r="A1" s="318" t="s">
        <v>446</v>
      </c>
    </row>
    <row r="3" spans="1:18" ht="19" thickBot="1" x14ac:dyDescent="0.5"/>
    <row r="4" spans="1:18" ht="19" thickBot="1" x14ac:dyDescent="0.5">
      <c r="A4" s="319" t="s">
        <v>447</v>
      </c>
      <c r="B4" s="320" t="s">
        <v>448</v>
      </c>
      <c r="C4" s="321" t="s">
        <v>449</v>
      </c>
      <c r="E4" s="319" t="s">
        <v>450</v>
      </c>
      <c r="F4" s="322"/>
      <c r="G4" s="323" t="s">
        <v>448</v>
      </c>
      <c r="H4" s="321" t="s">
        <v>449</v>
      </c>
    </row>
    <row r="5" spans="1:18" x14ac:dyDescent="0.45">
      <c r="A5" s="324" t="s">
        <v>451</v>
      </c>
      <c r="B5" s="325">
        <v>50000</v>
      </c>
      <c r="C5" s="326">
        <v>50000</v>
      </c>
      <c r="E5" s="327" t="s">
        <v>452</v>
      </c>
      <c r="F5" s="328"/>
      <c r="G5" s="329"/>
      <c r="H5" s="330"/>
      <c r="N5" s="78" t="s">
        <v>452</v>
      </c>
      <c r="P5" s="78" t="s">
        <v>453</v>
      </c>
      <c r="Q5" s="78" t="s">
        <v>454</v>
      </c>
      <c r="R5" s="78" t="s">
        <v>455</v>
      </c>
    </row>
    <row r="6" spans="1:18" x14ac:dyDescent="0.45">
      <c r="A6" s="324" t="s">
        <v>456</v>
      </c>
      <c r="B6" s="325">
        <v>1000000</v>
      </c>
      <c r="C6" s="326">
        <v>1000000</v>
      </c>
      <c r="E6" s="327"/>
      <c r="F6" s="328" t="s">
        <v>457</v>
      </c>
      <c r="G6" s="331">
        <f>IFERROR(B5/B7,"NA")</f>
        <v>0.66666666666666663</v>
      </c>
      <c r="H6" s="332">
        <f>IFERROR(C5/C7,"NA")</f>
        <v>1.4285714285714286</v>
      </c>
      <c r="O6" s="78" t="s">
        <v>457</v>
      </c>
      <c r="P6" s="78">
        <v>1.5</v>
      </c>
      <c r="R6" s="78">
        <v>0.8</v>
      </c>
    </row>
    <row r="7" spans="1:18" ht="19" thickBot="1" x14ac:dyDescent="0.5">
      <c r="A7" s="324" t="s">
        <v>458</v>
      </c>
      <c r="B7" s="325">
        <v>75000</v>
      </c>
      <c r="C7" s="326">
        <v>35000</v>
      </c>
      <c r="E7" s="327"/>
      <c r="F7" s="328" t="s">
        <v>459</v>
      </c>
      <c r="G7" s="333">
        <f>IFERROR((B5-B7)/B13,"NA")</f>
        <v>-1.4285714285714285E-2</v>
      </c>
      <c r="H7" s="334">
        <f>IFERROR((C5-C7)/C13,"NA")</f>
        <v>8.5714285714285719E-3</v>
      </c>
      <c r="O7" s="78" t="s">
        <v>459</v>
      </c>
      <c r="P7" s="335">
        <v>0.25</v>
      </c>
      <c r="R7" s="335">
        <v>0.05</v>
      </c>
    </row>
    <row r="8" spans="1:18" x14ac:dyDescent="0.45">
      <c r="A8" s="324" t="s">
        <v>460</v>
      </c>
      <c r="B8" s="325">
        <v>100000</v>
      </c>
      <c r="C8" s="326">
        <v>560000</v>
      </c>
      <c r="E8" s="336" t="s">
        <v>461</v>
      </c>
      <c r="F8" s="337"/>
      <c r="G8" s="338"/>
      <c r="H8" s="339"/>
      <c r="N8" s="78" t="s">
        <v>461</v>
      </c>
    </row>
    <row r="9" spans="1:18" ht="19" thickBot="1" x14ac:dyDescent="0.5">
      <c r="A9" s="324" t="s">
        <v>462</v>
      </c>
      <c r="B9" s="340">
        <f>B6-B8</f>
        <v>900000</v>
      </c>
      <c r="C9" s="341">
        <f>C6-C8</f>
        <v>440000</v>
      </c>
      <c r="E9" s="342"/>
      <c r="F9" s="343" t="s">
        <v>463</v>
      </c>
      <c r="G9" s="344">
        <f>IFERROR(B9/B6,"NA")</f>
        <v>0.9</v>
      </c>
      <c r="H9" s="345">
        <f>IFERROR(C9/C6,"NA")</f>
        <v>0.44</v>
      </c>
      <c r="O9" s="78" t="s">
        <v>463</v>
      </c>
      <c r="P9" s="335">
        <v>0.7</v>
      </c>
      <c r="R9" s="335">
        <v>0.3</v>
      </c>
    </row>
    <row r="10" spans="1:18" ht="19" thickBot="1" x14ac:dyDescent="0.5">
      <c r="A10" s="324"/>
      <c r="B10" s="346"/>
      <c r="C10" s="341"/>
      <c r="E10" s="327" t="s">
        <v>464</v>
      </c>
      <c r="F10" s="328"/>
      <c r="G10" s="347"/>
      <c r="H10" s="348"/>
      <c r="N10" s="78" t="s">
        <v>464</v>
      </c>
    </row>
    <row r="11" spans="1:18" ht="19" thickBot="1" x14ac:dyDescent="0.5">
      <c r="A11" s="319" t="s">
        <v>465</v>
      </c>
      <c r="B11" s="349"/>
      <c r="C11" s="350"/>
      <c r="E11" s="327"/>
      <c r="F11" s="328" t="s">
        <v>466</v>
      </c>
      <c r="G11" s="333">
        <f>IFERROR(B17/B22,"NA")</f>
        <v>1.8666666666666667</v>
      </c>
      <c r="H11" s="334">
        <f>IFERROR(C17/C22,"NA")</f>
        <v>4.5333333333333332</v>
      </c>
      <c r="O11" s="78" t="s">
        <v>466</v>
      </c>
      <c r="P11" s="335">
        <v>1.5</v>
      </c>
      <c r="R11" s="335">
        <v>1.1000000000000001</v>
      </c>
    </row>
    <row r="12" spans="1:18" ht="19" thickBot="1" x14ac:dyDescent="0.5">
      <c r="A12" s="324" t="s">
        <v>467</v>
      </c>
      <c r="B12" s="351">
        <v>1800000</v>
      </c>
      <c r="C12" s="326">
        <v>2000000</v>
      </c>
      <c r="E12" s="327"/>
      <c r="F12" s="328" t="s">
        <v>468</v>
      </c>
      <c r="G12" s="352">
        <f>IFERROR((B8-B7)/B17,"NA")</f>
        <v>0.17857142857142858</v>
      </c>
      <c r="H12" s="353">
        <f>IFERROR((C8-C7)/C17,"NA")</f>
        <v>1.5441176470588236</v>
      </c>
      <c r="O12" s="78" t="s">
        <v>468</v>
      </c>
      <c r="P12" s="78">
        <v>3</v>
      </c>
      <c r="R12" s="78">
        <v>7</v>
      </c>
    </row>
    <row r="13" spans="1:18" x14ac:dyDescent="0.45">
      <c r="A13" s="324" t="s">
        <v>469</v>
      </c>
      <c r="B13" s="325">
        <v>1750000</v>
      </c>
      <c r="C13" s="326">
        <v>1750000</v>
      </c>
      <c r="E13" s="336" t="s">
        <v>470</v>
      </c>
      <c r="F13" s="337"/>
      <c r="G13" s="338"/>
      <c r="H13" s="339"/>
      <c r="N13" s="78" t="s">
        <v>470</v>
      </c>
    </row>
    <row r="14" spans="1:18" ht="19" thickBot="1" x14ac:dyDescent="0.5">
      <c r="A14" s="324" t="s">
        <v>471</v>
      </c>
      <c r="B14" s="325">
        <v>30000</v>
      </c>
      <c r="C14" s="326">
        <v>30000</v>
      </c>
      <c r="E14" s="342"/>
      <c r="F14" s="343" t="s">
        <v>472</v>
      </c>
      <c r="G14" s="344">
        <f>IFERROR((B16+B14-B20)/B6,"NA")</f>
        <v>0.03</v>
      </c>
      <c r="H14" s="345">
        <f>IFERROR((C16+C14-C20)/C6,"NA")</f>
        <v>0.23</v>
      </c>
      <c r="O14" s="78" t="s">
        <v>472</v>
      </c>
      <c r="P14" s="335">
        <v>0.08</v>
      </c>
      <c r="R14" s="335">
        <v>0.03</v>
      </c>
    </row>
    <row r="15" spans="1:18" x14ac:dyDescent="0.45">
      <c r="A15" s="324" t="s">
        <v>473</v>
      </c>
      <c r="B15" s="325">
        <v>60000</v>
      </c>
      <c r="C15" s="326">
        <v>60000</v>
      </c>
      <c r="E15" s="327" t="s">
        <v>474</v>
      </c>
      <c r="F15" s="328"/>
      <c r="G15" s="347"/>
      <c r="H15" s="348"/>
      <c r="N15" s="78" t="s">
        <v>474</v>
      </c>
    </row>
    <row r="16" spans="1:18" x14ac:dyDescent="0.45">
      <c r="A16" s="324" t="s">
        <v>475</v>
      </c>
      <c r="B16" s="340">
        <f>B12-B13</f>
        <v>50000</v>
      </c>
      <c r="C16" s="341">
        <f>C12-C13</f>
        <v>250000</v>
      </c>
      <c r="E16" s="327"/>
      <c r="F16" s="328" t="s">
        <v>476</v>
      </c>
      <c r="G16" s="333">
        <f>IFERROR((B13-B14-B15)/B12,"NA")</f>
        <v>0.92222222222222228</v>
      </c>
      <c r="H16" s="334">
        <f>IFERROR((C13-C14-C15)/C12,"NA")</f>
        <v>0.83</v>
      </c>
      <c r="O16" s="78" t="s">
        <v>476</v>
      </c>
      <c r="P16" s="335">
        <v>0.7</v>
      </c>
      <c r="R16" s="335">
        <v>0.9</v>
      </c>
    </row>
    <row r="17" spans="1:18" ht="19" thickBot="1" x14ac:dyDescent="0.5">
      <c r="A17" s="324" t="s">
        <v>477</v>
      </c>
      <c r="B17" s="340">
        <f>B16+B14+B15</f>
        <v>140000</v>
      </c>
      <c r="C17" s="341">
        <f>C16+C14+C15</f>
        <v>340000</v>
      </c>
      <c r="E17" s="342"/>
      <c r="F17" s="343" t="s">
        <v>478</v>
      </c>
      <c r="G17" s="344">
        <f>IFERROR(B12/B6,"NA")</f>
        <v>1.8</v>
      </c>
      <c r="H17" s="345">
        <f>IFERROR(C12/C6,"NA")</f>
        <v>2</v>
      </c>
      <c r="O17" s="78" t="s">
        <v>478</v>
      </c>
      <c r="P17" s="335">
        <v>0.3</v>
      </c>
      <c r="R17" s="335">
        <v>0.1</v>
      </c>
    </row>
    <row r="18" spans="1:18" ht="19" thickBot="1" x14ac:dyDescent="0.5">
      <c r="A18" s="324"/>
      <c r="B18" s="354"/>
      <c r="C18" s="330"/>
    </row>
    <row r="19" spans="1:18" ht="19" thickBot="1" x14ac:dyDescent="0.5">
      <c r="A19" s="319" t="s">
        <v>479</v>
      </c>
      <c r="B19" s="349"/>
      <c r="C19" s="350"/>
    </row>
    <row r="20" spans="1:18" ht="37" x14ac:dyDescent="0.45">
      <c r="A20" s="355" t="s">
        <v>480</v>
      </c>
      <c r="B20" s="351">
        <v>50000</v>
      </c>
      <c r="C20" s="326">
        <v>50000</v>
      </c>
    </row>
    <row r="21" spans="1:18" x14ac:dyDescent="0.45">
      <c r="A21" s="324" t="s">
        <v>282</v>
      </c>
      <c r="B21" s="325">
        <v>15000</v>
      </c>
      <c r="C21" s="326">
        <v>15000</v>
      </c>
    </row>
    <row r="22" spans="1:18" ht="19" thickBot="1" x14ac:dyDescent="0.5">
      <c r="A22" s="356" t="s">
        <v>481</v>
      </c>
      <c r="B22" s="357">
        <v>75000</v>
      </c>
      <c r="C22" s="358">
        <v>75000</v>
      </c>
    </row>
    <row r="24" spans="1:18" x14ac:dyDescent="0.45">
      <c r="A24" s="78" t="s">
        <v>482</v>
      </c>
    </row>
    <row r="25" spans="1:18" x14ac:dyDescent="0.45">
      <c r="A25" s="78" t="s">
        <v>483</v>
      </c>
    </row>
  </sheetData>
  <conditionalFormatting sqref="G6">
    <cfRule type="iconSet" priority="16">
      <iconSet iconSet="3TrafficLights2">
        <cfvo type="percent" val="0"/>
        <cfvo type="num" val="$R$6"/>
        <cfvo type="num" val="$P$6"/>
      </iconSet>
    </cfRule>
  </conditionalFormatting>
  <conditionalFormatting sqref="G7">
    <cfRule type="iconSet" priority="15">
      <iconSet iconSet="3TrafficLights2">
        <cfvo type="percent" val="0"/>
        <cfvo type="num" val="$R$7"/>
        <cfvo type="num" val="$P$7"/>
      </iconSet>
    </cfRule>
  </conditionalFormatting>
  <conditionalFormatting sqref="G9">
    <cfRule type="iconSet" priority="14">
      <iconSet iconSet="3TrafficLights2">
        <cfvo type="percent" val="0"/>
        <cfvo type="num" val="$R$9"/>
        <cfvo type="num" val="$P$9"/>
      </iconSet>
    </cfRule>
  </conditionalFormatting>
  <conditionalFormatting sqref="G12">
    <cfRule type="iconSet" priority="13">
      <iconSet iconSet="3TrafficLights2" reverse="1">
        <cfvo type="percent" val="0"/>
        <cfvo type="num" val="$R$12"/>
        <cfvo type="num" val="$P$12"/>
      </iconSet>
    </cfRule>
  </conditionalFormatting>
  <conditionalFormatting sqref="G14">
    <cfRule type="iconSet" priority="12">
      <iconSet iconSet="3TrafficLights2">
        <cfvo type="percent" val="0"/>
        <cfvo type="num" val="$R$14"/>
        <cfvo type="num" val="$P$14"/>
      </iconSet>
    </cfRule>
  </conditionalFormatting>
  <conditionalFormatting sqref="G16">
    <cfRule type="iconSet" priority="11">
      <iconSet iconSet="3TrafficLights2" reverse="1">
        <cfvo type="percent" val="0"/>
        <cfvo type="num" val="$P$16"/>
        <cfvo type="num" val="$R$16"/>
      </iconSet>
    </cfRule>
  </conditionalFormatting>
  <conditionalFormatting sqref="G17">
    <cfRule type="iconSet" priority="10">
      <iconSet iconSet="3TrafficLights2">
        <cfvo type="percent" val="0"/>
        <cfvo type="num" val="$R$17"/>
        <cfvo type="num" val="$P$17"/>
      </iconSet>
    </cfRule>
  </conditionalFormatting>
  <conditionalFormatting sqref="H14">
    <cfRule type="iconSet" priority="4">
      <iconSet iconSet="3TrafficLights2">
        <cfvo type="percent" val="0"/>
        <cfvo type="num" val="$R$14"/>
        <cfvo type="num" val="$P$14"/>
      </iconSet>
    </cfRule>
  </conditionalFormatting>
  <conditionalFormatting sqref="G11">
    <cfRule type="iconSet" priority="9">
      <iconSet iconSet="3TrafficLights2">
        <cfvo type="percent" val="0"/>
        <cfvo type="num" val="$R$11"/>
        <cfvo type="num" val="$P$11"/>
      </iconSet>
    </cfRule>
  </conditionalFormatting>
  <conditionalFormatting sqref="H6">
    <cfRule type="iconSet" priority="8">
      <iconSet iconSet="3TrafficLights2">
        <cfvo type="percent" val="0"/>
        <cfvo type="num" val="$R$6"/>
        <cfvo type="num" val="$P$6"/>
      </iconSet>
    </cfRule>
  </conditionalFormatting>
  <conditionalFormatting sqref="H7">
    <cfRule type="iconSet" priority="7">
      <iconSet iconSet="3TrafficLights2">
        <cfvo type="percent" val="0"/>
        <cfvo type="num" val="$R$7"/>
        <cfvo type="num" val="$P$7"/>
      </iconSet>
    </cfRule>
  </conditionalFormatting>
  <conditionalFormatting sqref="H9">
    <cfRule type="iconSet" priority="6">
      <iconSet iconSet="3TrafficLights2">
        <cfvo type="percent" val="0"/>
        <cfvo type="num" val="$R$9"/>
        <cfvo type="num" val="$P$9"/>
      </iconSet>
    </cfRule>
  </conditionalFormatting>
  <conditionalFormatting sqref="H12">
    <cfRule type="iconSet" priority="5">
      <iconSet iconSet="3TrafficLights2" reverse="1">
        <cfvo type="percent" val="0"/>
        <cfvo type="num" val="$R$12"/>
        <cfvo type="num" val="$P$12"/>
      </iconSet>
    </cfRule>
  </conditionalFormatting>
  <conditionalFormatting sqref="H16">
    <cfRule type="iconSet" priority="3">
      <iconSet iconSet="3TrafficLights2" reverse="1">
        <cfvo type="percent" val="0"/>
        <cfvo type="num" val="$P$16"/>
        <cfvo type="num" val="$R$16"/>
      </iconSet>
    </cfRule>
  </conditionalFormatting>
  <conditionalFormatting sqref="H17">
    <cfRule type="iconSet" priority="2">
      <iconSet iconSet="3TrafficLights2">
        <cfvo type="percent" val="0"/>
        <cfvo type="num" val="$R$17"/>
        <cfvo type="num" val="$P$17"/>
      </iconSet>
    </cfRule>
  </conditionalFormatting>
  <conditionalFormatting sqref="H11">
    <cfRule type="iconSet" priority="1">
      <iconSet iconSet="3TrafficLights2">
        <cfvo type="percent" val="0"/>
        <cfvo type="num" val="$R$11"/>
        <cfvo type="num" val="$P$11"/>
      </iconSet>
    </cfRule>
  </conditionalFormatting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502"/>
  <sheetViews>
    <sheetView showGridLines="0" showZeros="0" zoomScale="80" zoomScaleNormal="80" zoomScaleSheetLayoutView="50" workbookViewId="0">
      <selection activeCell="F6" sqref="F6"/>
    </sheetView>
  </sheetViews>
  <sheetFormatPr defaultRowHeight="15.5" x14ac:dyDescent="0.35"/>
  <cols>
    <col min="1" max="1" width="2.26953125" style="50" customWidth="1"/>
    <col min="2" max="2" width="12" style="50" customWidth="1"/>
    <col min="3" max="3" width="31.81640625" style="50" customWidth="1"/>
    <col min="4" max="4" width="19" style="50" customWidth="1"/>
    <col min="5" max="5" width="5.7265625" style="50" customWidth="1"/>
    <col min="6" max="6" width="15.1796875" style="50" customWidth="1"/>
    <col min="7" max="7" width="1.26953125" style="50" customWidth="1"/>
    <col min="8" max="8" width="6.54296875" style="50" customWidth="1"/>
    <col min="9" max="9" width="3.1796875" style="50" customWidth="1"/>
    <col min="10" max="10" width="15.453125" style="50" customWidth="1"/>
    <col min="11" max="11" width="7.81640625" style="50" customWidth="1"/>
    <col min="12" max="19" width="0" style="50" hidden="1" customWidth="1"/>
    <col min="20" max="20" width="15.54296875" style="50" hidden="1" customWidth="1"/>
    <col min="21" max="21" width="0" style="50" hidden="1" customWidth="1"/>
    <col min="22" max="22" width="12.7265625" style="50" hidden="1" customWidth="1"/>
    <col min="23" max="24" width="0" style="50" hidden="1" customWidth="1"/>
    <col min="25" max="25" width="13.54296875" style="50" hidden="1" customWidth="1"/>
    <col min="26" max="37" width="0" style="50" hidden="1" customWidth="1"/>
    <col min="38" max="256" width="9.1796875" style="50"/>
    <col min="257" max="257" width="2.26953125" style="50" customWidth="1"/>
    <col min="258" max="258" width="12" style="50" customWidth="1"/>
    <col min="259" max="259" width="31.81640625" style="50" customWidth="1"/>
    <col min="260" max="260" width="19" style="50" customWidth="1"/>
    <col min="261" max="261" width="5.7265625" style="50" customWidth="1"/>
    <col min="262" max="262" width="11.54296875" style="50" customWidth="1"/>
    <col min="263" max="263" width="1.26953125" style="50" customWidth="1"/>
    <col min="264" max="264" width="6.54296875" style="50" customWidth="1"/>
    <col min="265" max="265" width="3.1796875" style="50" customWidth="1"/>
    <col min="266" max="266" width="21.7265625" style="50" customWidth="1"/>
    <col min="267" max="267" width="7.81640625" style="50" customWidth="1"/>
    <col min="268" max="293" width="0" style="50" hidden="1" customWidth="1"/>
    <col min="294" max="512" width="9.1796875" style="50"/>
    <col min="513" max="513" width="2.26953125" style="50" customWidth="1"/>
    <col min="514" max="514" width="12" style="50" customWidth="1"/>
    <col min="515" max="515" width="31.81640625" style="50" customWidth="1"/>
    <col min="516" max="516" width="19" style="50" customWidth="1"/>
    <col min="517" max="517" width="5.7265625" style="50" customWidth="1"/>
    <col min="518" max="518" width="11.54296875" style="50" customWidth="1"/>
    <col min="519" max="519" width="1.26953125" style="50" customWidth="1"/>
    <col min="520" max="520" width="6.54296875" style="50" customWidth="1"/>
    <col min="521" max="521" width="3.1796875" style="50" customWidth="1"/>
    <col min="522" max="522" width="21.7265625" style="50" customWidth="1"/>
    <col min="523" max="523" width="7.81640625" style="50" customWidth="1"/>
    <col min="524" max="549" width="0" style="50" hidden="1" customWidth="1"/>
    <col min="550" max="768" width="9.1796875" style="50"/>
    <col min="769" max="769" width="2.26953125" style="50" customWidth="1"/>
    <col min="770" max="770" width="12" style="50" customWidth="1"/>
    <col min="771" max="771" width="31.81640625" style="50" customWidth="1"/>
    <col min="772" max="772" width="19" style="50" customWidth="1"/>
    <col min="773" max="773" width="5.7265625" style="50" customWidth="1"/>
    <col min="774" max="774" width="11.54296875" style="50" customWidth="1"/>
    <col min="775" max="775" width="1.26953125" style="50" customWidth="1"/>
    <col min="776" max="776" width="6.54296875" style="50" customWidth="1"/>
    <col min="777" max="777" width="3.1796875" style="50" customWidth="1"/>
    <col min="778" max="778" width="21.7265625" style="50" customWidth="1"/>
    <col min="779" max="779" width="7.81640625" style="50" customWidth="1"/>
    <col min="780" max="805" width="0" style="50" hidden="1" customWidth="1"/>
    <col min="806" max="1024" width="9.1796875" style="50"/>
    <col min="1025" max="1025" width="2.26953125" style="50" customWidth="1"/>
    <col min="1026" max="1026" width="12" style="50" customWidth="1"/>
    <col min="1027" max="1027" width="31.81640625" style="50" customWidth="1"/>
    <col min="1028" max="1028" width="19" style="50" customWidth="1"/>
    <col min="1029" max="1029" width="5.7265625" style="50" customWidth="1"/>
    <col min="1030" max="1030" width="11.54296875" style="50" customWidth="1"/>
    <col min="1031" max="1031" width="1.26953125" style="50" customWidth="1"/>
    <col min="1032" max="1032" width="6.54296875" style="50" customWidth="1"/>
    <col min="1033" max="1033" width="3.1796875" style="50" customWidth="1"/>
    <col min="1034" max="1034" width="21.7265625" style="50" customWidth="1"/>
    <col min="1035" max="1035" width="7.81640625" style="50" customWidth="1"/>
    <col min="1036" max="1061" width="0" style="50" hidden="1" customWidth="1"/>
    <col min="1062" max="1280" width="9.1796875" style="50"/>
    <col min="1281" max="1281" width="2.26953125" style="50" customWidth="1"/>
    <col min="1282" max="1282" width="12" style="50" customWidth="1"/>
    <col min="1283" max="1283" width="31.81640625" style="50" customWidth="1"/>
    <col min="1284" max="1284" width="19" style="50" customWidth="1"/>
    <col min="1285" max="1285" width="5.7265625" style="50" customWidth="1"/>
    <col min="1286" max="1286" width="11.54296875" style="50" customWidth="1"/>
    <col min="1287" max="1287" width="1.26953125" style="50" customWidth="1"/>
    <col min="1288" max="1288" width="6.54296875" style="50" customWidth="1"/>
    <col min="1289" max="1289" width="3.1796875" style="50" customWidth="1"/>
    <col min="1290" max="1290" width="21.7265625" style="50" customWidth="1"/>
    <col min="1291" max="1291" width="7.81640625" style="50" customWidth="1"/>
    <col min="1292" max="1317" width="0" style="50" hidden="1" customWidth="1"/>
    <col min="1318" max="1536" width="9.1796875" style="50"/>
    <col min="1537" max="1537" width="2.26953125" style="50" customWidth="1"/>
    <col min="1538" max="1538" width="12" style="50" customWidth="1"/>
    <col min="1539" max="1539" width="31.81640625" style="50" customWidth="1"/>
    <col min="1540" max="1540" width="19" style="50" customWidth="1"/>
    <col min="1541" max="1541" width="5.7265625" style="50" customWidth="1"/>
    <col min="1542" max="1542" width="11.54296875" style="50" customWidth="1"/>
    <col min="1543" max="1543" width="1.26953125" style="50" customWidth="1"/>
    <col min="1544" max="1544" width="6.54296875" style="50" customWidth="1"/>
    <col min="1545" max="1545" width="3.1796875" style="50" customWidth="1"/>
    <col min="1546" max="1546" width="21.7265625" style="50" customWidth="1"/>
    <col min="1547" max="1547" width="7.81640625" style="50" customWidth="1"/>
    <col min="1548" max="1573" width="0" style="50" hidden="1" customWidth="1"/>
    <col min="1574" max="1792" width="9.1796875" style="50"/>
    <col min="1793" max="1793" width="2.26953125" style="50" customWidth="1"/>
    <col min="1794" max="1794" width="12" style="50" customWidth="1"/>
    <col min="1795" max="1795" width="31.81640625" style="50" customWidth="1"/>
    <col min="1796" max="1796" width="19" style="50" customWidth="1"/>
    <col min="1797" max="1797" width="5.7265625" style="50" customWidth="1"/>
    <col min="1798" max="1798" width="11.54296875" style="50" customWidth="1"/>
    <col min="1799" max="1799" width="1.26953125" style="50" customWidth="1"/>
    <col min="1800" max="1800" width="6.54296875" style="50" customWidth="1"/>
    <col min="1801" max="1801" width="3.1796875" style="50" customWidth="1"/>
    <col min="1802" max="1802" width="21.7265625" style="50" customWidth="1"/>
    <col min="1803" max="1803" width="7.81640625" style="50" customWidth="1"/>
    <col min="1804" max="1829" width="0" style="50" hidden="1" customWidth="1"/>
    <col min="1830" max="2048" width="9.1796875" style="50"/>
    <col min="2049" max="2049" width="2.26953125" style="50" customWidth="1"/>
    <col min="2050" max="2050" width="12" style="50" customWidth="1"/>
    <col min="2051" max="2051" width="31.81640625" style="50" customWidth="1"/>
    <col min="2052" max="2052" width="19" style="50" customWidth="1"/>
    <col min="2053" max="2053" width="5.7265625" style="50" customWidth="1"/>
    <col min="2054" max="2054" width="11.54296875" style="50" customWidth="1"/>
    <col min="2055" max="2055" width="1.26953125" style="50" customWidth="1"/>
    <col min="2056" max="2056" width="6.54296875" style="50" customWidth="1"/>
    <col min="2057" max="2057" width="3.1796875" style="50" customWidth="1"/>
    <col min="2058" max="2058" width="21.7265625" style="50" customWidth="1"/>
    <col min="2059" max="2059" width="7.81640625" style="50" customWidth="1"/>
    <col min="2060" max="2085" width="0" style="50" hidden="1" customWidth="1"/>
    <col min="2086" max="2304" width="9.1796875" style="50"/>
    <col min="2305" max="2305" width="2.26953125" style="50" customWidth="1"/>
    <col min="2306" max="2306" width="12" style="50" customWidth="1"/>
    <col min="2307" max="2307" width="31.81640625" style="50" customWidth="1"/>
    <col min="2308" max="2308" width="19" style="50" customWidth="1"/>
    <col min="2309" max="2309" width="5.7265625" style="50" customWidth="1"/>
    <col min="2310" max="2310" width="11.54296875" style="50" customWidth="1"/>
    <col min="2311" max="2311" width="1.26953125" style="50" customWidth="1"/>
    <col min="2312" max="2312" width="6.54296875" style="50" customWidth="1"/>
    <col min="2313" max="2313" width="3.1796875" style="50" customWidth="1"/>
    <col min="2314" max="2314" width="21.7265625" style="50" customWidth="1"/>
    <col min="2315" max="2315" width="7.81640625" style="50" customWidth="1"/>
    <col min="2316" max="2341" width="0" style="50" hidden="1" customWidth="1"/>
    <col min="2342" max="2560" width="9.1796875" style="50"/>
    <col min="2561" max="2561" width="2.26953125" style="50" customWidth="1"/>
    <col min="2562" max="2562" width="12" style="50" customWidth="1"/>
    <col min="2563" max="2563" width="31.81640625" style="50" customWidth="1"/>
    <col min="2564" max="2564" width="19" style="50" customWidth="1"/>
    <col min="2565" max="2565" width="5.7265625" style="50" customWidth="1"/>
    <col min="2566" max="2566" width="11.54296875" style="50" customWidth="1"/>
    <col min="2567" max="2567" width="1.26953125" style="50" customWidth="1"/>
    <col min="2568" max="2568" width="6.54296875" style="50" customWidth="1"/>
    <col min="2569" max="2569" width="3.1796875" style="50" customWidth="1"/>
    <col min="2570" max="2570" width="21.7265625" style="50" customWidth="1"/>
    <col min="2571" max="2571" width="7.81640625" style="50" customWidth="1"/>
    <col min="2572" max="2597" width="0" style="50" hidden="1" customWidth="1"/>
    <col min="2598" max="2816" width="9.1796875" style="50"/>
    <col min="2817" max="2817" width="2.26953125" style="50" customWidth="1"/>
    <col min="2818" max="2818" width="12" style="50" customWidth="1"/>
    <col min="2819" max="2819" width="31.81640625" style="50" customWidth="1"/>
    <col min="2820" max="2820" width="19" style="50" customWidth="1"/>
    <col min="2821" max="2821" width="5.7265625" style="50" customWidth="1"/>
    <col min="2822" max="2822" width="11.54296875" style="50" customWidth="1"/>
    <col min="2823" max="2823" width="1.26953125" style="50" customWidth="1"/>
    <col min="2824" max="2824" width="6.54296875" style="50" customWidth="1"/>
    <col min="2825" max="2825" width="3.1796875" style="50" customWidth="1"/>
    <col min="2826" max="2826" width="21.7265625" style="50" customWidth="1"/>
    <col min="2827" max="2827" width="7.81640625" style="50" customWidth="1"/>
    <col min="2828" max="2853" width="0" style="50" hidden="1" customWidth="1"/>
    <col min="2854" max="3072" width="9.1796875" style="50"/>
    <col min="3073" max="3073" width="2.26953125" style="50" customWidth="1"/>
    <col min="3074" max="3074" width="12" style="50" customWidth="1"/>
    <col min="3075" max="3075" width="31.81640625" style="50" customWidth="1"/>
    <col min="3076" max="3076" width="19" style="50" customWidth="1"/>
    <col min="3077" max="3077" width="5.7265625" style="50" customWidth="1"/>
    <col min="3078" max="3078" width="11.54296875" style="50" customWidth="1"/>
    <col min="3079" max="3079" width="1.26953125" style="50" customWidth="1"/>
    <col min="3080" max="3080" width="6.54296875" style="50" customWidth="1"/>
    <col min="3081" max="3081" width="3.1796875" style="50" customWidth="1"/>
    <col min="3082" max="3082" width="21.7265625" style="50" customWidth="1"/>
    <col min="3083" max="3083" width="7.81640625" style="50" customWidth="1"/>
    <col min="3084" max="3109" width="0" style="50" hidden="1" customWidth="1"/>
    <col min="3110" max="3328" width="9.1796875" style="50"/>
    <col min="3329" max="3329" width="2.26953125" style="50" customWidth="1"/>
    <col min="3330" max="3330" width="12" style="50" customWidth="1"/>
    <col min="3331" max="3331" width="31.81640625" style="50" customWidth="1"/>
    <col min="3332" max="3332" width="19" style="50" customWidth="1"/>
    <col min="3333" max="3333" width="5.7265625" style="50" customWidth="1"/>
    <col min="3334" max="3334" width="11.54296875" style="50" customWidth="1"/>
    <col min="3335" max="3335" width="1.26953125" style="50" customWidth="1"/>
    <col min="3336" max="3336" width="6.54296875" style="50" customWidth="1"/>
    <col min="3337" max="3337" width="3.1796875" style="50" customWidth="1"/>
    <col min="3338" max="3338" width="21.7265625" style="50" customWidth="1"/>
    <col min="3339" max="3339" width="7.81640625" style="50" customWidth="1"/>
    <col min="3340" max="3365" width="0" style="50" hidden="1" customWidth="1"/>
    <col min="3366" max="3584" width="9.1796875" style="50"/>
    <col min="3585" max="3585" width="2.26953125" style="50" customWidth="1"/>
    <col min="3586" max="3586" width="12" style="50" customWidth="1"/>
    <col min="3587" max="3587" width="31.81640625" style="50" customWidth="1"/>
    <col min="3588" max="3588" width="19" style="50" customWidth="1"/>
    <col min="3589" max="3589" width="5.7265625" style="50" customWidth="1"/>
    <col min="3590" max="3590" width="11.54296875" style="50" customWidth="1"/>
    <col min="3591" max="3591" width="1.26953125" style="50" customWidth="1"/>
    <col min="3592" max="3592" width="6.54296875" style="50" customWidth="1"/>
    <col min="3593" max="3593" width="3.1796875" style="50" customWidth="1"/>
    <col min="3594" max="3594" width="21.7265625" style="50" customWidth="1"/>
    <col min="3595" max="3595" width="7.81640625" style="50" customWidth="1"/>
    <col min="3596" max="3621" width="0" style="50" hidden="1" customWidth="1"/>
    <col min="3622" max="3840" width="9.1796875" style="50"/>
    <col min="3841" max="3841" width="2.26953125" style="50" customWidth="1"/>
    <col min="3842" max="3842" width="12" style="50" customWidth="1"/>
    <col min="3843" max="3843" width="31.81640625" style="50" customWidth="1"/>
    <col min="3844" max="3844" width="19" style="50" customWidth="1"/>
    <col min="3845" max="3845" width="5.7265625" style="50" customWidth="1"/>
    <col min="3846" max="3846" width="11.54296875" style="50" customWidth="1"/>
    <col min="3847" max="3847" width="1.26953125" style="50" customWidth="1"/>
    <col min="3848" max="3848" width="6.54296875" style="50" customWidth="1"/>
    <col min="3849" max="3849" width="3.1796875" style="50" customWidth="1"/>
    <col min="3850" max="3850" width="21.7265625" style="50" customWidth="1"/>
    <col min="3851" max="3851" width="7.81640625" style="50" customWidth="1"/>
    <col min="3852" max="3877" width="0" style="50" hidden="1" customWidth="1"/>
    <col min="3878" max="4096" width="9.1796875" style="50"/>
    <col min="4097" max="4097" width="2.26953125" style="50" customWidth="1"/>
    <col min="4098" max="4098" width="12" style="50" customWidth="1"/>
    <col min="4099" max="4099" width="31.81640625" style="50" customWidth="1"/>
    <col min="4100" max="4100" width="19" style="50" customWidth="1"/>
    <col min="4101" max="4101" width="5.7265625" style="50" customWidth="1"/>
    <col min="4102" max="4102" width="11.54296875" style="50" customWidth="1"/>
    <col min="4103" max="4103" width="1.26953125" style="50" customWidth="1"/>
    <col min="4104" max="4104" width="6.54296875" style="50" customWidth="1"/>
    <col min="4105" max="4105" width="3.1796875" style="50" customWidth="1"/>
    <col min="4106" max="4106" width="21.7265625" style="50" customWidth="1"/>
    <col min="4107" max="4107" width="7.81640625" style="50" customWidth="1"/>
    <col min="4108" max="4133" width="0" style="50" hidden="1" customWidth="1"/>
    <col min="4134" max="4352" width="9.1796875" style="50"/>
    <col min="4353" max="4353" width="2.26953125" style="50" customWidth="1"/>
    <col min="4354" max="4354" width="12" style="50" customWidth="1"/>
    <col min="4355" max="4355" width="31.81640625" style="50" customWidth="1"/>
    <col min="4356" max="4356" width="19" style="50" customWidth="1"/>
    <col min="4357" max="4357" width="5.7265625" style="50" customWidth="1"/>
    <col min="4358" max="4358" width="11.54296875" style="50" customWidth="1"/>
    <col min="4359" max="4359" width="1.26953125" style="50" customWidth="1"/>
    <col min="4360" max="4360" width="6.54296875" style="50" customWidth="1"/>
    <col min="4361" max="4361" width="3.1796875" style="50" customWidth="1"/>
    <col min="4362" max="4362" width="21.7265625" style="50" customWidth="1"/>
    <col min="4363" max="4363" width="7.81640625" style="50" customWidth="1"/>
    <col min="4364" max="4389" width="0" style="50" hidden="1" customWidth="1"/>
    <col min="4390" max="4608" width="9.1796875" style="50"/>
    <col min="4609" max="4609" width="2.26953125" style="50" customWidth="1"/>
    <col min="4610" max="4610" width="12" style="50" customWidth="1"/>
    <col min="4611" max="4611" width="31.81640625" style="50" customWidth="1"/>
    <col min="4612" max="4612" width="19" style="50" customWidth="1"/>
    <col min="4613" max="4613" width="5.7265625" style="50" customWidth="1"/>
    <col min="4614" max="4614" width="11.54296875" style="50" customWidth="1"/>
    <col min="4615" max="4615" width="1.26953125" style="50" customWidth="1"/>
    <col min="4616" max="4616" width="6.54296875" style="50" customWidth="1"/>
    <col min="4617" max="4617" width="3.1796875" style="50" customWidth="1"/>
    <col min="4618" max="4618" width="21.7265625" style="50" customWidth="1"/>
    <col min="4619" max="4619" width="7.81640625" style="50" customWidth="1"/>
    <col min="4620" max="4645" width="0" style="50" hidden="1" customWidth="1"/>
    <col min="4646" max="4864" width="9.1796875" style="50"/>
    <col min="4865" max="4865" width="2.26953125" style="50" customWidth="1"/>
    <col min="4866" max="4866" width="12" style="50" customWidth="1"/>
    <col min="4867" max="4867" width="31.81640625" style="50" customWidth="1"/>
    <col min="4868" max="4868" width="19" style="50" customWidth="1"/>
    <col min="4869" max="4869" width="5.7265625" style="50" customWidth="1"/>
    <col min="4870" max="4870" width="11.54296875" style="50" customWidth="1"/>
    <col min="4871" max="4871" width="1.26953125" style="50" customWidth="1"/>
    <col min="4872" max="4872" width="6.54296875" style="50" customWidth="1"/>
    <col min="4873" max="4873" width="3.1796875" style="50" customWidth="1"/>
    <col min="4874" max="4874" width="21.7265625" style="50" customWidth="1"/>
    <col min="4875" max="4875" width="7.81640625" style="50" customWidth="1"/>
    <col min="4876" max="4901" width="0" style="50" hidden="1" customWidth="1"/>
    <col min="4902" max="5120" width="9.1796875" style="50"/>
    <col min="5121" max="5121" width="2.26953125" style="50" customWidth="1"/>
    <col min="5122" max="5122" width="12" style="50" customWidth="1"/>
    <col min="5123" max="5123" width="31.81640625" style="50" customWidth="1"/>
    <col min="5124" max="5124" width="19" style="50" customWidth="1"/>
    <col min="5125" max="5125" width="5.7265625" style="50" customWidth="1"/>
    <col min="5126" max="5126" width="11.54296875" style="50" customWidth="1"/>
    <col min="5127" max="5127" width="1.26953125" style="50" customWidth="1"/>
    <col min="5128" max="5128" width="6.54296875" style="50" customWidth="1"/>
    <col min="5129" max="5129" width="3.1796875" style="50" customWidth="1"/>
    <col min="5130" max="5130" width="21.7265625" style="50" customWidth="1"/>
    <col min="5131" max="5131" width="7.81640625" style="50" customWidth="1"/>
    <col min="5132" max="5157" width="0" style="50" hidden="1" customWidth="1"/>
    <col min="5158" max="5376" width="9.1796875" style="50"/>
    <col min="5377" max="5377" width="2.26953125" style="50" customWidth="1"/>
    <col min="5378" max="5378" width="12" style="50" customWidth="1"/>
    <col min="5379" max="5379" width="31.81640625" style="50" customWidth="1"/>
    <col min="5380" max="5380" width="19" style="50" customWidth="1"/>
    <col min="5381" max="5381" width="5.7265625" style="50" customWidth="1"/>
    <col min="5382" max="5382" width="11.54296875" style="50" customWidth="1"/>
    <col min="5383" max="5383" width="1.26953125" style="50" customWidth="1"/>
    <col min="5384" max="5384" width="6.54296875" style="50" customWidth="1"/>
    <col min="5385" max="5385" width="3.1796875" style="50" customWidth="1"/>
    <col min="5386" max="5386" width="21.7265625" style="50" customWidth="1"/>
    <col min="5387" max="5387" width="7.81640625" style="50" customWidth="1"/>
    <col min="5388" max="5413" width="0" style="50" hidden="1" customWidth="1"/>
    <col min="5414" max="5632" width="9.1796875" style="50"/>
    <col min="5633" max="5633" width="2.26953125" style="50" customWidth="1"/>
    <col min="5634" max="5634" width="12" style="50" customWidth="1"/>
    <col min="5635" max="5635" width="31.81640625" style="50" customWidth="1"/>
    <col min="5636" max="5636" width="19" style="50" customWidth="1"/>
    <col min="5637" max="5637" width="5.7265625" style="50" customWidth="1"/>
    <col min="5638" max="5638" width="11.54296875" style="50" customWidth="1"/>
    <col min="5639" max="5639" width="1.26953125" style="50" customWidth="1"/>
    <col min="5640" max="5640" width="6.54296875" style="50" customWidth="1"/>
    <col min="5641" max="5641" width="3.1796875" style="50" customWidth="1"/>
    <col min="5642" max="5642" width="21.7265625" style="50" customWidth="1"/>
    <col min="5643" max="5643" width="7.81640625" style="50" customWidth="1"/>
    <col min="5644" max="5669" width="0" style="50" hidden="1" customWidth="1"/>
    <col min="5670" max="5888" width="9.1796875" style="50"/>
    <col min="5889" max="5889" width="2.26953125" style="50" customWidth="1"/>
    <col min="5890" max="5890" width="12" style="50" customWidth="1"/>
    <col min="5891" max="5891" width="31.81640625" style="50" customWidth="1"/>
    <col min="5892" max="5892" width="19" style="50" customWidth="1"/>
    <col min="5893" max="5893" width="5.7265625" style="50" customWidth="1"/>
    <col min="5894" max="5894" width="11.54296875" style="50" customWidth="1"/>
    <col min="5895" max="5895" width="1.26953125" style="50" customWidth="1"/>
    <col min="5896" max="5896" width="6.54296875" style="50" customWidth="1"/>
    <col min="5897" max="5897" width="3.1796875" style="50" customWidth="1"/>
    <col min="5898" max="5898" width="21.7265625" style="50" customWidth="1"/>
    <col min="5899" max="5899" width="7.81640625" style="50" customWidth="1"/>
    <col min="5900" max="5925" width="0" style="50" hidden="1" customWidth="1"/>
    <col min="5926" max="6144" width="9.1796875" style="50"/>
    <col min="6145" max="6145" width="2.26953125" style="50" customWidth="1"/>
    <col min="6146" max="6146" width="12" style="50" customWidth="1"/>
    <col min="6147" max="6147" width="31.81640625" style="50" customWidth="1"/>
    <col min="6148" max="6148" width="19" style="50" customWidth="1"/>
    <col min="6149" max="6149" width="5.7265625" style="50" customWidth="1"/>
    <col min="6150" max="6150" width="11.54296875" style="50" customWidth="1"/>
    <col min="6151" max="6151" width="1.26953125" style="50" customWidth="1"/>
    <col min="6152" max="6152" width="6.54296875" style="50" customWidth="1"/>
    <col min="6153" max="6153" width="3.1796875" style="50" customWidth="1"/>
    <col min="6154" max="6154" width="21.7265625" style="50" customWidth="1"/>
    <col min="6155" max="6155" width="7.81640625" style="50" customWidth="1"/>
    <col min="6156" max="6181" width="0" style="50" hidden="1" customWidth="1"/>
    <col min="6182" max="6400" width="9.1796875" style="50"/>
    <col min="6401" max="6401" width="2.26953125" style="50" customWidth="1"/>
    <col min="6402" max="6402" width="12" style="50" customWidth="1"/>
    <col min="6403" max="6403" width="31.81640625" style="50" customWidth="1"/>
    <col min="6404" max="6404" width="19" style="50" customWidth="1"/>
    <col min="6405" max="6405" width="5.7265625" style="50" customWidth="1"/>
    <col min="6406" max="6406" width="11.54296875" style="50" customWidth="1"/>
    <col min="6407" max="6407" width="1.26953125" style="50" customWidth="1"/>
    <col min="6408" max="6408" width="6.54296875" style="50" customWidth="1"/>
    <col min="6409" max="6409" width="3.1796875" style="50" customWidth="1"/>
    <col min="6410" max="6410" width="21.7265625" style="50" customWidth="1"/>
    <col min="6411" max="6411" width="7.81640625" style="50" customWidth="1"/>
    <col min="6412" max="6437" width="0" style="50" hidden="1" customWidth="1"/>
    <col min="6438" max="6656" width="9.1796875" style="50"/>
    <col min="6657" max="6657" width="2.26953125" style="50" customWidth="1"/>
    <col min="6658" max="6658" width="12" style="50" customWidth="1"/>
    <col min="6659" max="6659" width="31.81640625" style="50" customWidth="1"/>
    <col min="6660" max="6660" width="19" style="50" customWidth="1"/>
    <col min="6661" max="6661" width="5.7265625" style="50" customWidth="1"/>
    <col min="6662" max="6662" width="11.54296875" style="50" customWidth="1"/>
    <col min="6663" max="6663" width="1.26953125" style="50" customWidth="1"/>
    <col min="6664" max="6664" width="6.54296875" style="50" customWidth="1"/>
    <col min="6665" max="6665" width="3.1796875" style="50" customWidth="1"/>
    <col min="6666" max="6666" width="21.7265625" style="50" customWidth="1"/>
    <col min="6667" max="6667" width="7.81640625" style="50" customWidth="1"/>
    <col min="6668" max="6693" width="0" style="50" hidden="1" customWidth="1"/>
    <col min="6694" max="6912" width="9.1796875" style="50"/>
    <col min="6913" max="6913" width="2.26953125" style="50" customWidth="1"/>
    <col min="6914" max="6914" width="12" style="50" customWidth="1"/>
    <col min="6915" max="6915" width="31.81640625" style="50" customWidth="1"/>
    <col min="6916" max="6916" width="19" style="50" customWidth="1"/>
    <col min="6917" max="6917" width="5.7265625" style="50" customWidth="1"/>
    <col min="6918" max="6918" width="11.54296875" style="50" customWidth="1"/>
    <col min="6919" max="6919" width="1.26953125" style="50" customWidth="1"/>
    <col min="6920" max="6920" width="6.54296875" style="50" customWidth="1"/>
    <col min="6921" max="6921" width="3.1796875" style="50" customWidth="1"/>
    <col min="6922" max="6922" width="21.7265625" style="50" customWidth="1"/>
    <col min="6923" max="6923" width="7.81640625" style="50" customWidth="1"/>
    <col min="6924" max="6949" width="0" style="50" hidden="1" customWidth="1"/>
    <col min="6950" max="7168" width="9.1796875" style="50"/>
    <col min="7169" max="7169" width="2.26953125" style="50" customWidth="1"/>
    <col min="7170" max="7170" width="12" style="50" customWidth="1"/>
    <col min="7171" max="7171" width="31.81640625" style="50" customWidth="1"/>
    <col min="7172" max="7172" width="19" style="50" customWidth="1"/>
    <col min="7173" max="7173" width="5.7265625" style="50" customWidth="1"/>
    <col min="7174" max="7174" width="11.54296875" style="50" customWidth="1"/>
    <col min="7175" max="7175" width="1.26953125" style="50" customWidth="1"/>
    <col min="7176" max="7176" width="6.54296875" style="50" customWidth="1"/>
    <col min="7177" max="7177" width="3.1796875" style="50" customWidth="1"/>
    <col min="7178" max="7178" width="21.7265625" style="50" customWidth="1"/>
    <col min="7179" max="7179" width="7.81640625" style="50" customWidth="1"/>
    <col min="7180" max="7205" width="0" style="50" hidden="1" customWidth="1"/>
    <col min="7206" max="7424" width="9.1796875" style="50"/>
    <col min="7425" max="7425" width="2.26953125" style="50" customWidth="1"/>
    <col min="7426" max="7426" width="12" style="50" customWidth="1"/>
    <col min="7427" max="7427" width="31.81640625" style="50" customWidth="1"/>
    <col min="7428" max="7428" width="19" style="50" customWidth="1"/>
    <col min="7429" max="7429" width="5.7265625" style="50" customWidth="1"/>
    <col min="7430" max="7430" width="11.54296875" style="50" customWidth="1"/>
    <col min="7431" max="7431" width="1.26953125" style="50" customWidth="1"/>
    <col min="7432" max="7432" width="6.54296875" style="50" customWidth="1"/>
    <col min="7433" max="7433" width="3.1796875" style="50" customWidth="1"/>
    <col min="7434" max="7434" width="21.7265625" style="50" customWidth="1"/>
    <col min="7435" max="7435" width="7.81640625" style="50" customWidth="1"/>
    <col min="7436" max="7461" width="0" style="50" hidden="1" customWidth="1"/>
    <col min="7462" max="7680" width="9.1796875" style="50"/>
    <col min="7681" max="7681" width="2.26953125" style="50" customWidth="1"/>
    <col min="7682" max="7682" width="12" style="50" customWidth="1"/>
    <col min="7683" max="7683" width="31.81640625" style="50" customWidth="1"/>
    <col min="7684" max="7684" width="19" style="50" customWidth="1"/>
    <col min="7685" max="7685" width="5.7265625" style="50" customWidth="1"/>
    <col min="7686" max="7686" width="11.54296875" style="50" customWidth="1"/>
    <col min="7687" max="7687" width="1.26953125" style="50" customWidth="1"/>
    <col min="7688" max="7688" width="6.54296875" style="50" customWidth="1"/>
    <col min="7689" max="7689" width="3.1796875" style="50" customWidth="1"/>
    <col min="7690" max="7690" width="21.7265625" style="50" customWidth="1"/>
    <col min="7691" max="7691" width="7.81640625" style="50" customWidth="1"/>
    <col min="7692" max="7717" width="0" style="50" hidden="1" customWidth="1"/>
    <col min="7718" max="7936" width="9.1796875" style="50"/>
    <col min="7937" max="7937" width="2.26953125" style="50" customWidth="1"/>
    <col min="7938" max="7938" width="12" style="50" customWidth="1"/>
    <col min="7939" max="7939" width="31.81640625" style="50" customWidth="1"/>
    <col min="7940" max="7940" width="19" style="50" customWidth="1"/>
    <col min="7941" max="7941" width="5.7265625" style="50" customWidth="1"/>
    <col min="7942" max="7942" width="11.54296875" style="50" customWidth="1"/>
    <col min="7943" max="7943" width="1.26953125" style="50" customWidth="1"/>
    <col min="7944" max="7944" width="6.54296875" style="50" customWidth="1"/>
    <col min="7945" max="7945" width="3.1796875" style="50" customWidth="1"/>
    <col min="7946" max="7946" width="21.7265625" style="50" customWidth="1"/>
    <col min="7947" max="7947" width="7.81640625" style="50" customWidth="1"/>
    <col min="7948" max="7973" width="0" style="50" hidden="1" customWidth="1"/>
    <col min="7974" max="8192" width="9.1796875" style="50"/>
    <col min="8193" max="8193" width="2.26953125" style="50" customWidth="1"/>
    <col min="8194" max="8194" width="12" style="50" customWidth="1"/>
    <col min="8195" max="8195" width="31.81640625" style="50" customWidth="1"/>
    <col min="8196" max="8196" width="19" style="50" customWidth="1"/>
    <col min="8197" max="8197" width="5.7265625" style="50" customWidth="1"/>
    <col min="8198" max="8198" width="11.54296875" style="50" customWidth="1"/>
    <col min="8199" max="8199" width="1.26953125" style="50" customWidth="1"/>
    <col min="8200" max="8200" width="6.54296875" style="50" customWidth="1"/>
    <col min="8201" max="8201" width="3.1796875" style="50" customWidth="1"/>
    <col min="8202" max="8202" width="21.7265625" style="50" customWidth="1"/>
    <col min="8203" max="8203" width="7.81640625" style="50" customWidth="1"/>
    <col min="8204" max="8229" width="0" style="50" hidden="1" customWidth="1"/>
    <col min="8230" max="8448" width="9.1796875" style="50"/>
    <col min="8449" max="8449" width="2.26953125" style="50" customWidth="1"/>
    <col min="8450" max="8450" width="12" style="50" customWidth="1"/>
    <col min="8451" max="8451" width="31.81640625" style="50" customWidth="1"/>
    <col min="8452" max="8452" width="19" style="50" customWidth="1"/>
    <col min="8453" max="8453" width="5.7265625" style="50" customWidth="1"/>
    <col min="8454" max="8454" width="11.54296875" style="50" customWidth="1"/>
    <col min="8455" max="8455" width="1.26953125" style="50" customWidth="1"/>
    <col min="8456" max="8456" width="6.54296875" style="50" customWidth="1"/>
    <col min="8457" max="8457" width="3.1796875" style="50" customWidth="1"/>
    <col min="8458" max="8458" width="21.7265625" style="50" customWidth="1"/>
    <col min="8459" max="8459" width="7.81640625" style="50" customWidth="1"/>
    <col min="8460" max="8485" width="0" style="50" hidden="1" customWidth="1"/>
    <col min="8486" max="8704" width="9.1796875" style="50"/>
    <col min="8705" max="8705" width="2.26953125" style="50" customWidth="1"/>
    <col min="8706" max="8706" width="12" style="50" customWidth="1"/>
    <col min="8707" max="8707" width="31.81640625" style="50" customWidth="1"/>
    <col min="8708" max="8708" width="19" style="50" customWidth="1"/>
    <col min="8709" max="8709" width="5.7265625" style="50" customWidth="1"/>
    <col min="8710" max="8710" width="11.54296875" style="50" customWidth="1"/>
    <col min="8711" max="8711" width="1.26953125" style="50" customWidth="1"/>
    <col min="8712" max="8712" width="6.54296875" style="50" customWidth="1"/>
    <col min="8713" max="8713" width="3.1796875" style="50" customWidth="1"/>
    <col min="8714" max="8714" width="21.7265625" style="50" customWidth="1"/>
    <col min="8715" max="8715" width="7.81640625" style="50" customWidth="1"/>
    <col min="8716" max="8741" width="0" style="50" hidden="1" customWidth="1"/>
    <col min="8742" max="8960" width="9.1796875" style="50"/>
    <col min="8961" max="8961" width="2.26953125" style="50" customWidth="1"/>
    <col min="8962" max="8962" width="12" style="50" customWidth="1"/>
    <col min="8963" max="8963" width="31.81640625" style="50" customWidth="1"/>
    <col min="8964" max="8964" width="19" style="50" customWidth="1"/>
    <col min="8965" max="8965" width="5.7265625" style="50" customWidth="1"/>
    <col min="8966" max="8966" width="11.54296875" style="50" customWidth="1"/>
    <col min="8967" max="8967" width="1.26953125" style="50" customWidth="1"/>
    <col min="8968" max="8968" width="6.54296875" style="50" customWidth="1"/>
    <col min="8969" max="8969" width="3.1796875" style="50" customWidth="1"/>
    <col min="8970" max="8970" width="21.7265625" style="50" customWidth="1"/>
    <col min="8971" max="8971" width="7.81640625" style="50" customWidth="1"/>
    <col min="8972" max="8997" width="0" style="50" hidden="1" customWidth="1"/>
    <col min="8998" max="9216" width="9.1796875" style="50"/>
    <col min="9217" max="9217" width="2.26953125" style="50" customWidth="1"/>
    <col min="9218" max="9218" width="12" style="50" customWidth="1"/>
    <col min="9219" max="9219" width="31.81640625" style="50" customWidth="1"/>
    <col min="9220" max="9220" width="19" style="50" customWidth="1"/>
    <col min="9221" max="9221" width="5.7265625" style="50" customWidth="1"/>
    <col min="9222" max="9222" width="11.54296875" style="50" customWidth="1"/>
    <col min="9223" max="9223" width="1.26953125" style="50" customWidth="1"/>
    <col min="9224" max="9224" width="6.54296875" style="50" customWidth="1"/>
    <col min="9225" max="9225" width="3.1796875" style="50" customWidth="1"/>
    <col min="9226" max="9226" width="21.7265625" style="50" customWidth="1"/>
    <col min="9227" max="9227" width="7.81640625" style="50" customWidth="1"/>
    <col min="9228" max="9253" width="0" style="50" hidden="1" customWidth="1"/>
    <col min="9254" max="9472" width="9.1796875" style="50"/>
    <col min="9473" max="9473" width="2.26953125" style="50" customWidth="1"/>
    <col min="9474" max="9474" width="12" style="50" customWidth="1"/>
    <col min="9475" max="9475" width="31.81640625" style="50" customWidth="1"/>
    <col min="9476" max="9476" width="19" style="50" customWidth="1"/>
    <col min="9477" max="9477" width="5.7265625" style="50" customWidth="1"/>
    <col min="9478" max="9478" width="11.54296875" style="50" customWidth="1"/>
    <col min="9479" max="9479" width="1.26953125" style="50" customWidth="1"/>
    <col min="9480" max="9480" width="6.54296875" style="50" customWidth="1"/>
    <col min="9481" max="9481" width="3.1796875" style="50" customWidth="1"/>
    <col min="9482" max="9482" width="21.7265625" style="50" customWidth="1"/>
    <col min="9483" max="9483" width="7.81640625" style="50" customWidth="1"/>
    <col min="9484" max="9509" width="0" style="50" hidden="1" customWidth="1"/>
    <col min="9510" max="9728" width="9.1796875" style="50"/>
    <col min="9729" max="9729" width="2.26953125" style="50" customWidth="1"/>
    <col min="9730" max="9730" width="12" style="50" customWidth="1"/>
    <col min="9731" max="9731" width="31.81640625" style="50" customWidth="1"/>
    <col min="9732" max="9732" width="19" style="50" customWidth="1"/>
    <col min="9733" max="9733" width="5.7265625" style="50" customWidth="1"/>
    <col min="9734" max="9734" width="11.54296875" style="50" customWidth="1"/>
    <col min="9735" max="9735" width="1.26953125" style="50" customWidth="1"/>
    <col min="9736" max="9736" width="6.54296875" style="50" customWidth="1"/>
    <col min="9737" max="9737" width="3.1796875" style="50" customWidth="1"/>
    <col min="9738" max="9738" width="21.7265625" style="50" customWidth="1"/>
    <col min="9739" max="9739" width="7.81640625" style="50" customWidth="1"/>
    <col min="9740" max="9765" width="0" style="50" hidden="1" customWidth="1"/>
    <col min="9766" max="9984" width="9.1796875" style="50"/>
    <col min="9985" max="9985" width="2.26953125" style="50" customWidth="1"/>
    <col min="9986" max="9986" width="12" style="50" customWidth="1"/>
    <col min="9987" max="9987" width="31.81640625" style="50" customWidth="1"/>
    <col min="9988" max="9988" width="19" style="50" customWidth="1"/>
    <col min="9989" max="9989" width="5.7265625" style="50" customWidth="1"/>
    <col min="9990" max="9990" width="11.54296875" style="50" customWidth="1"/>
    <col min="9991" max="9991" width="1.26953125" style="50" customWidth="1"/>
    <col min="9992" max="9992" width="6.54296875" style="50" customWidth="1"/>
    <col min="9993" max="9993" width="3.1796875" style="50" customWidth="1"/>
    <col min="9994" max="9994" width="21.7265625" style="50" customWidth="1"/>
    <col min="9995" max="9995" width="7.81640625" style="50" customWidth="1"/>
    <col min="9996" max="10021" width="0" style="50" hidden="1" customWidth="1"/>
    <col min="10022" max="10240" width="9.1796875" style="50"/>
    <col min="10241" max="10241" width="2.26953125" style="50" customWidth="1"/>
    <col min="10242" max="10242" width="12" style="50" customWidth="1"/>
    <col min="10243" max="10243" width="31.81640625" style="50" customWidth="1"/>
    <col min="10244" max="10244" width="19" style="50" customWidth="1"/>
    <col min="10245" max="10245" width="5.7265625" style="50" customWidth="1"/>
    <col min="10246" max="10246" width="11.54296875" style="50" customWidth="1"/>
    <col min="10247" max="10247" width="1.26953125" style="50" customWidth="1"/>
    <col min="10248" max="10248" width="6.54296875" style="50" customWidth="1"/>
    <col min="10249" max="10249" width="3.1796875" style="50" customWidth="1"/>
    <col min="10250" max="10250" width="21.7265625" style="50" customWidth="1"/>
    <col min="10251" max="10251" width="7.81640625" style="50" customWidth="1"/>
    <col min="10252" max="10277" width="0" style="50" hidden="1" customWidth="1"/>
    <col min="10278" max="10496" width="9.1796875" style="50"/>
    <col min="10497" max="10497" width="2.26953125" style="50" customWidth="1"/>
    <col min="10498" max="10498" width="12" style="50" customWidth="1"/>
    <col min="10499" max="10499" width="31.81640625" style="50" customWidth="1"/>
    <col min="10500" max="10500" width="19" style="50" customWidth="1"/>
    <col min="10501" max="10501" width="5.7265625" style="50" customWidth="1"/>
    <col min="10502" max="10502" width="11.54296875" style="50" customWidth="1"/>
    <col min="10503" max="10503" width="1.26953125" style="50" customWidth="1"/>
    <col min="10504" max="10504" width="6.54296875" style="50" customWidth="1"/>
    <col min="10505" max="10505" width="3.1796875" style="50" customWidth="1"/>
    <col min="10506" max="10506" width="21.7265625" style="50" customWidth="1"/>
    <col min="10507" max="10507" width="7.81640625" style="50" customWidth="1"/>
    <col min="10508" max="10533" width="0" style="50" hidden="1" customWidth="1"/>
    <col min="10534" max="10752" width="9.1796875" style="50"/>
    <col min="10753" max="10753" width="2.26953125" style="50" customWidth="1"/>
    <col min="10754" max="10754" width="12" style="50" customWidth="1"/>
    <col min="10755" max="10755" width="31.81640625" style="50" customWidth="1"/>
    <col min="10756" max="10756" width="19" style="50" customWidth="1"/>
    <col min="10757" max="10757" width="5.7265625" style="50" customWidth="1"/>
    <col min="10758" max="10758" width="11.54296875" style="50" customWidth="1"/>
    <col min="10759" max="10759" width="1.26953125" style="50" customWidth="1"/>
    <col min="10760" max="10760" width="6.54296875" style="50" customWidth="1"/>
    <col min="10761" max="10761" width="3.1796875" style="50" customWidth="1"/>
    <col min="10762" max="10762" width="21.7265625" style="50" customWidth="1"/>
    <col min="10763" max="10763" width="7.81640625" style="50" customWidth="1"/>
    <col min="10764" max="10789" width="0" style="50" hidden="1" customWidth="1"/>
    <col min="10790" max="11008" width="9.1796875" style="50"/>
    <col min="11009" max="11009" width="2.26953125" style="50" customWidth="1"/>
    <col min="11010" max="11010" width="12" style="50" customWidth="1"/>
    <col min="11011" max="11011" width="31.81640625" style="50" customWidth="1"/>
    <col min="11012" max="11012" width="19" style="50" customWidth="1"/>
    <col min="11013" max="11013" width="5.7265625" style="50" customWidth="1"/>
    <col min="11014" max="11014" width="11.54296875" style="50" customWidth="1"/>
    <col min="11015" max="11015" width="1.26953125" style="50" customWidth="1"/>
    <col min="11016" max="11016" width="6.54296875" style="50" customWidth="1"/>
    <col min="11017" max="11017" width="3.1796875" style="50" customWidth="1"/>
    <col min="11018" max="11018" width="21.7265625" style="50" customWidth="1"/>
    <col min="11019" max="11019" width="7.81640625" style="50" customWidth="1"/>
    <col min="11020" max="11045" width="0" style="50" hidden="1" customWidth="1"/>
    <col min="11046" max="11264" width="9.1796875" style="50"/>
    <col min="11265" max="11265" width="2.26953125" style="50" customWidth="1"/>
    <col min="11266" max="11266" width="12" style="50" customWidth="1"/>
    <col min="11267" max="11267" width="31.81640625" style="50" customWidth="1"/>
    <col min="11268" max="11268" width="19" style="50" customWidth="1"/>
    <col min="11269" max="11269" width="5.7265625" style="50" customWidth="1"/>
    <col min="11270" max="11270" width="11.54296875" style="50" customWidth="1"/>
    <col min="11271" max="11271" width="1.26953125" style="50" customWidth="1"/>
    <col min="11272" max="11272" width="6.54296875" style="50" customWidth="1"/>
    <col min="11273" max="11273" width="3.1796875" style="50" customWidth="1"/>
    <col min="11274" max="11274" width="21.7265625" style="50" customWidth="1"/>
    <col min="11275" max="11275" width="7.81640625" style="50" customWidth="1"/>
    <col min="11276" max="11301" width="0" style="50" hidden="1" customWidth="1"/>
    <col min="11302" max="11520" width="9.1796875" style="50"/>
    <col min="11521" max="11521" width="2.26953125" style="50" customWidth="1"/>
    <col min="11522" max="11522" width="12" style="50" customWidth="1"/>
    <col min="11523" max="11523" width="31.81640625" style="50" customWidth="1"/>
    <col min="11524" max="11524" width="19" style="50" customWidth="1"/>
    <col min="11525" max="11525" width="5.7265625" style="50" customWidth="1"/>
    <col min="11526" max="11526" width="11.54296875" style="50" customWidth="1"/>
    <col min="11527" max="11527" width="1.26953125" style="50" customWidth="1"/>
    <col min="11528" max="11528" width="6.54296875" style="50" customWidth="1"/>
    <col min="11529" max="11529" width="3.1796875" style="50" customWidth="1"/>
    <col min="11530" max="11530" width="21.7265625" style="50" customWidth="1"/>
    <col min="11531" max="11531" width="7.81640625" style="50" customWidth="1"/>
    <col min="11532" max="11557" width="0" style="50" hidden="1" customWidth="1"/>
    <col min="11558" max="11776" width="9.1796875" style="50"/>
    <col min="11777" max="11777" width="2.26953125" style="50" customWidth="1"/>
    <col min="11778" max="11778" width="12" style="50" customWidth="1"/>
    <col min="11779" max="11779" width="31.81640625" style="50" customWidth="1"/>
    <col min="11780" max="11780" width="19" style="50" customWidth="1"/>
    <col min="11781" max="11781" width="5.7265625" style="50" customWidth="1"/>
    <col min="11782" max="11782" width="11.54296875" style="50" customWidth="1"/>
    <col min="11783" max="11783" width="1.26953125" style="50" customWidth="1"/>
    <col min="11784" max="11784" width="6.54296875" style="50" customWidth="1"/>
    <col min="11785" max="11785" width="3.1796875" style="50" customWidth="1"/>
    <col min="11786" max="11786" width="21.7265625" style="50" customWidth="1"/>
    <col min="11787" max="11787" width="7.81640625" style="50" customWidth="1"/>
    <col min="11788" max="11813" width="0" style="50" hidden="1" customWidth="1"/>
    <col min="11814" max="12032" width="9.1796875" style="50"/>
    <col min="12033" max="12033" width="2.26953125" style="50" customWidth="1"/>
    <col min="12034" max="12034" width="12" style="50" customWidth="1"/>
    <col min="12035" max="12035" width="31.81640625" style="50" customWidth="1"/>
    <col min="12036" max="12036" width="19" style="50" customWidth="1"/>
    <col min="12037" max="12037" width="5.7265625" style="50" customWidth="1"/>
    <col min="12038" max="12038" width="11.54296875" style="50" customWidth="1"/>
    <col min="12039" max="12039" width="1.26953125" style="50" customWidth="1"/>
    <col min="12040" max="12040" width="6.54296875" style="50" customWidth="1"/>
    <col min="12041" max="12041" width="3.1796875" style="50" customWidth="1"/>
    <col min="12042" max="12042" width="21.7265625" style="50" customWidth="1"/>
    <col min="12043" max="12043" width="7.81640625" style="50" customWidth="1"/>
    <col min="12044" max="12069" width="0" style="50" hidden="1" customWidth="1"/>
    <col min="12070" max="12288" width="9.1796875" style="50"/>
    <col min="12289" max="12289" width="2.26953125" style="50" customWidth="1"/>
    <col min="12290" max="12290" width="12" style="50" customWidth="1"/>
    <col min="12291" max="12291" width="31.81640625" style="50" customWidth="1"/>
    <col min="12292" max="12292" width="19" style="50" customWidth="1"/>
    <col min="12293" max="12293" width="5.7265625" style="50" customWidth="1"/>
    <col min="12294" max="12294" width="11.54296875" style="50" customWidth="1"/>
    <col min="12295" max="12295" width="1.26953125" style="50" customWidth="1"/>
    <col min="12296" max="12296" width="6.54296875" style="50" customWidth="1"/>
    <col min="12297" max="12297" width="3.1796875" style="50" customWidth="1"/>
    <col min="12298" max="12298" width="21.7265625" style="50" customWidth="1"/>
    <col min="12299" max="12299" width="7.81640625" style="50" customWidth="1"/>
    <col min="12300" max="12325" width="0" style="50" hidden="1" customWidth="1"/>
    <col min="12326" max="12544" width="9.1796875" style="50"/>
    <col min="12545" max="12545" width="2.26953125" style="50" customWidth="1"/>
    <col min="12546" max="12546" width="12" style="50" customWidth="1"/>
    <col min="12547" max="12547" width="31.81640625" style="50" customWidth="1"/>
    <col min="12548" max="12548" width="19" style="50" customWidth="1"/>
    <col min="12549" max="12549" width="5.7265625" style="50" customWidth="1"/>
    <col min="12550" max="12550" width="11.54296875" style="50" customWidth="1"/>
    <col min="12551" max="12551" width="1.26953125" style="50" customWidth="1"/>
    <col min="12552" max="12552" width="6.54296875" style="50" customWidth="1"/>
    <col min="12553" max="12553" width="3.1796875" style="50" customWidth="1"/>
    <col min="12554" max="12554" width="21.7265625" style="50" customWidth="1"/>
    <col min="12555" max="12555" width="7.81640625" style="50" customWidth="1"/>
    <col min="12556" max="12581" width="0" style="50" hidden="1" customWidth="1"/>
    <col min="12582" max="12800" width="9.1796875" style="50"/>
    <col min="12801" max="12801" width="2.26953125" style="50" customWidth="1"/>
    <col min="12802" max="12802" width="12" style="50" customWidth="1"/>
    <col min="12803" max="12803" width="31.81640625" style="50" customWidth="1"/>
    <col min="12804" max="12804" width="19" style="50" customWidth="1"/>
    <col min="12805" max="12805" width="5.7265625" style="50" customWidth="1"/>
    <col min="12806" max="12806" width="11.54296875" style="50" customWidth="1"/>
    <col min="12807" max="12807" width="1.26953125" style="50" customWidth="1"/>
    <col min="12808" max="12808" width="6.54296875" style="50" customWidth="1"/>
    <col min="12809" max="12809" width="3.1796875" style="50" customWidth="1"/>
    <col min="12810" max="12810" width="21.7265625" style="50" customWidth="1"/>
    <col min="12811" max="12811" width="7.81640625" style="50" customWidth="1"/>
    <col min="12812" max="12837" width="0" style="50" hidden="1" customWidth="1"/>
    <col min="12838" max="13056" width="9.1796875" style="50"/>
    <col min="13057" max="13057" width="2.26953125" style="50" customWidth="1"/>
    <col min="13058" max="13058" width="12" style="50" customWidth="1"/>
    <col min="13059" max="13059" width="31.81640625" style="50" customWidth="1"/>
    <col min="13060" max="13060" width="19" style="50" customWidth="1"/>
    <col min="13061" max="13061" width="5.7265625" style="50" customWidth="1"/>
    <col min="13062" max="13062" width="11.54296875" style="50" customWidth="1"/>
    <col min="13063" max="13063" width="1.26953125" style="50" customWidth="1"/>
    <col min="13064" max="13064" width="6.54296875" style="50" customWidth="1"/>
    <col min="13065" max="13065" width="3.1796875" style="50" customWidth="1"/>
    <col min="13066" max="13066" width="21.7265625" style="50" customWidth="1"/>
    <col min="13067" max="13067" width="7.81640625" style="50" customWidth="1"/>
    <col min="13068" max="13093" width="0" style="50" hidden="1" customWidth="1"/>
    <col min="13094" max="13312" width="9.1796875" style="50"/>
    <col min="13313" max="13313" width="2.26953125" style="50" customWidth="1"/>
    <col min="13314" max="13314" width="12" style="50" customWidth="1"/>
    <col min="13315" max="13315" width="31.81640625" style="50" customWidth="1"/>
    <col min="13316" max="13316" width="19" style="50" customWidth="1"/>
    <col min="13317" max="13317" width="5.7265625" style="50" customWidth="1"/>
    <col min="13318" max="13318" width="11.54296875" style="50" customWidth="1"/>
    <col min="13319" max="13319" width="1.26953125" style="50" customWidth="1"/>
    <col min="13320" max="13320" width="6.54296875" style="50" customWidth="1"/>
    <col min="13321" max="13321" width="3.1796875" style="50" customWidth="1"/>
    <col min="13322" max="13322" width="21.7265625" style="50" customWidth="1"/>
    <col min="13323" max="13323" width="7.81640625" style="50" customWidth="1"/>
    <col min="13324" max="13349" width="0" style="50" hidden="1" customWidth="1"/>
    <col min="13350" max="13568" width="9.1796875" style="50"/>
    <col min="13569" max="13569" width="2.26953125" style="50" customWidth="1"/>
    <col min="13570" max="13570" width="12" style="50" customWidth="1"/>
    <col min="13571" max="13571" width="31.81640625" style="50" customWidth="1"/>
    <col min="13572" max="13572" width="19" style="50" customWidth="1"/>
    <col min="13573" max="13573" width="5.7265625" style="50" customWidth="1"/>
    <col min="13574" max="13574" width="11.54296875" style="50" customWidth="1"/>
    <col min="13575" max="13575" width="1.26953125" style="50" customWidth="1"/>
    <col min="13576" max="13576" width="6.54296875" style="50" customWidth="1"/>
    <col min="13577" max="13577" width="3.1796875" style="50" customWidth="1"/>
    <col min="13578" max="13578" width="21.7265625" style="50" customWidth="1"/>
    <col min="13579" max="13579" width="7.81640625" style="50" customWidth="1"/>
    <col min="13580" max="13605" width="0" style="50" hidden="1" customWidth="1"/>
    <col min="13606" max="13824" width="9.1796875" style="50"/>
    <col min="13825" max="13825" width="2.26953125" style="50" customWidth="1"/>
    <col min="13826" max="13826" width="12" style="50" customWidth="1"/>
    <col min="13827" max="13827" width="31.81640625" style="50" customWidth="1"/>
    <col min="13828" max="13828" width="19" style="50" customWidth="1"/>
    <col min="13829" max="13829" width="5.7265625" style="50" customWidth="1"/>
    <col min="13830" max="13830" width="11.54296875" style="50" customWidth="1"/>
    <col min="13831" max="13831" width="1.26953125" style="50" customWidth="1"/>
    <col min="13832" max="13832" width="6.54296875" style="50" customWidth="1"/>
    <col min="13833" max="13833" width="3.1796875" style="50" customWidth="1"/>
    <col min="13834" max="13834" width="21.7265625" style="50" customWidth="1"/>
    <col min="13835" max="13835" width="7.81640625" style="50" customWidth="1"/>
    <col min="13836" max="13861" width="0" style="50" hidden="1" customWidth="1"/>
    <col min="13862" max="14080" width="9.1796875" style="50"/>
    <col min="14081" max="14081" width="2.26953125" style="50" customWidth="1"/>
    <col min="14082" max="14082" width="12" style="50" customWidth="1"/>
    <col min="14083" max="14083" width="31.81640625" style="50" customWidth="1"/>
    <col min="14084" max="14084" width="19" style="50" customWidth="1"/>
    <col min="14085" max="14085" width="5.7265625" style="50" customWidth="1"/>
    <col min="14086" max="14086" width="11.54296875" style="50" customWidth="1"/>
    <col min="14087" max="14087" width="1.26953125" style="50" customWidth="1"/>
    <col min="14088" max="14088" width="6.54296875" style="50" customWidth="1"/>
    <col min="14089" max="14089" width="3.1796875" style="50" customWidth="1"/>
    <col min="14090" max="14090" width="21.7265625" style="50" customWidth="1"/>
    <col min="14091" max="14091" width="7.81640625" style="50" customWidth="1"/>
    <col min="14092" max="14117" width="0" style="50" hidden="1" customWidth="1"/>
    <col min="14118" max="14336" width="9.1796875" style="50"/>
    <col min="14337" max="14337" width="2.26953125" style="50" customWidth="1"/>
    <col min="14338" max="14338" width="12" style="50" customWidth="1"/>
    <col min="14339" max="14339" width="31.81640625" style="50" customWidth="1"/>
    <col min="14340" max="14340" width="19" style="50" customWidth="1"/>
    <col min="14341" max="14341" width="5.7265625" style="50" customWidth="1"/>
    <col min="14342" max="14342" width="11.54296875" style="50" customWidth="1"/>
    <col min="14343" max="14343" width="1.26953125" style="50" customWidth="1"/>
    <col min="14344" max="14344" width="6.54296875" style="50" customWidth="1"/>
    <col min="14345" max="14345" width="3.1796875" style="50" customWidth="1"/>
    <col min="14346" max="14346" width="21.7265625" style="50" customWidth="1"/>
    <col min="14347" max="14347" width="7.81640625" style="50" customWidth="1"/>
    <col min="14348" max="14373" width="0" style="50" hidden="1" customWidth="1"/>
    <col min="14374" max="14592" width="9.1796875" style="50"/>
    <col min="14593" max="14593" width="2.26953125" style="50" customWidth="1"/>
    <col min="14594" max="14594" width="12" style="50" customWidth="1"/>
    <col min="14595" max="14595" width="31.81640625" style="50" customWidth="1"/>
    <col min="14596" max="14596" width="19" style="50" customWidth="1"/>
    <col min="14597" max="14597" width="5.7265625" style="50" customWidth="1"/>
    <col min="14598" max="14598" width="11.54296875" style="50" customWidth="1"/>
    <col min="14599" max="14599" width="1.26953125" style="50" customWidth="1"/>
    <col min="14600" max="14600" width="6.54296875" style="50" customWidth="1"/>
    <col min="14601" max="14601" width="3.1796875" style="50" customWidth="1"/>
    <col min="14602" max="14602" width="21.7265625" style="50" customWidth="1"/>
    <col min="14603" max="14603" width="7.81640625" style="50" customWidth="1"/>
    <col min="14604" max="14629" width="0" style="50" hidden="1" customWidth="1"/>
    <col min="14630" max="14848" width="9.1796875" style="50"/>
    <col min="14849" max="14849" width="2.26953125" style="50" customWidth="1"/>
    <col min="14850" max="14850" width="12" style="50" customWidth="1"/>
    <col min="14851" max="14851" width="31.81640625" style="50" customWidth="1"/>
    <col min="14852" max="14852" width="19" style="50" customWidth="1"/>
    <col min="14853" max="14853" width="5.7265625" style="50" customWidth="1"/>
    <col min="14854" max="14854" width="11.54296875" style="50" customWidth="1"/>
    <col min="14855" max="14855" width="1.26953125" style="50" customWidth="1"/>
    <col min="14856" max="14856" width="6.54296875" style="50" customWidth="1"/>
    <col min="14857" max="14857" width="3.1796875" style="50" customWidth="1"/>
    <col min="14858" max="14858" width="21.7265625" style="50" customWidth="1"/>
    <col min="14859" max="14859" width="7.81640625" style="50" customWidth="1"/>
    <col min="14860" max="14885" width="0" style="50" hidden="1" customWidth="1"/>
    <col min="14886" max="15104" width="9.1796875" style="50"/>
    <col min="15105" max="15105" width="2.26953125" style="50" customWidth="1"/>
    <col min="15106" max="15106" width="12" style="50" customWidth="1"/>
    <col min="15107" max="15107" width="31.81640625" style="50" customWidth="1"/>
    <col min="15108" max="15108" width="19" style="50" customWidth="1"/>
    <col min="15109" max="15109" width="5.7265625" style="50" customWidth="1"/>
    <col min="15110" max="15110" width="11.54296875" style="50" customWidth="1"/>
    <col min="15111" max="15111" width="1.26953125" style="50" customWidth="1"/>
    <col min="15112" max="15112" width="6.54296875" style="50" customWidth="1"/>
    <col min="15113" max="15113" width="3.1796875" style="50" customWidth="1"/>
    <col min="15114" max="15114" width="21.7265625" style="50" customWidth="1"/>
    <col min="15115" max="15115" width="7.81640625" style="50" customWidth="1"/>
    <col min="15116" max="15141" width="0" style="50" hidden="1" customWidth="1"/>
    <col min="15142" max="15360" width="9.1796875" style="50"/>
    <col min="15361" max="15361" width="2.26953125" style="50" customWidth="1"/>
    <col min="15362" max="15362" width="12" style="50" customWidth="1"/>
    <col min="15363" max="15363" width="31.81640625" style="50" customWidth="1"/>
    <col min="15364" max="15364" width="19" style="50" customWidth="1"/>
    <col min="15365" max="15365" width="5.7265625" style="50" customWidth="1"/>
    <col min="15366" max="15366" width="11.54296875" style="50" customWidth="1"/>
    <col min="15367" max="15367" width="1.26953125" style="50" customWidth="1"/>
    <col min="15368" max="15368" width="6.54296875" style="50" customWidth="1"/>
    <col min="15369" max="15369" width="3.1796875" style="50" customWidth="1"/>
    <col min="15370" max="15370" width="21.7265625" style="50" customWidth="1"/>
    <col min="15371" max="15371" width="7.81640625" style="50" customWidth="1"/>
    <col min="15372" max="15397" width="0" style="50" hidden="1" customWidth="1"/>
    <col min="15398" max="15616" width="9.1796875" style="50"/>
    <col min="15617" max="15617" width="2.26953125" style="50" customWidth="1"/>
    <col min="15618" max="15618" width="12" style="50" customWidth="1"/>
    <col min="15619" max="15619" width="31.81640625" style="50" customWidth="1"/>
    <col min="15620" max="15620" width="19" style="50" customWidth="1"/>
    <col min="15621" max="15621" width="5.7265625" style="50" customWidth="1"/>
    <col min="15622" max="15622" width="11.54296875" style="50" customWidth="1"/>
    <col min="15623" max="15623" width="1.26953125" style="50" customWidth="1"/>
    <col min="15624" max="15624" width="6.54296875" style="50" customWidth="1"/>
    <col min="15625" max="15625" width="3.1796875" style="50" customWidth="1"/>
    <col min="15626" max="15626" width="21.7265625" style="50" customWidth="1"/>
    <col min="15627" max="15627" width="7.81640625" style="50" customWidth="1"/>
    <col min="15628" max="15653" width="0" style="50" hidden="1" customWidth="1"/>
    <col min="15654" max="15872" width="9.1796875" style="50"/>
    <col min="15873" max="15873" width="2.26953125" style="50" customWidth="1"/>
    <col min="15874" max="15874" width="12" style="50" customWidth="1"/>
    <col min="15875" max="15875" width="31.81640625" style="50" customWidth="1"/>
    <col min="15876" max="15876" width="19" style="50" customWidth="1"/>
    <col min="15877" max="15877" width="5.7265625" style="50" customWidth="1"/>
    <col min="15878" max="15878" width="11.54296875" style="50" customWidth="1"/>
    <col min="15879" max="15879" width="1.26953125" style="50" customWidth="1"/>
    <col min="15880" max="15880" width="6.54296875" style="50" customWidth="1"/>
    <col min="15881" max="15881" width="3.1796875" style="50" customWidth="1"/>
    <col min="15882" max="15882" width="21.7265625" style="50" customWidth="1"/>
    <col min="15883" max="15883" width="7.81640625" style="50" customWidth="1"/>
    <col min="15884" max="15909" width="0" style="50" hidden="1" customWidth="1"/>
    <col min="15910" max="16128" width="9.1796875" style="50"/>
    <col min="16129" max="16129" width="2.26953125" style="50" customWidth="1"/>
    <col min="16130" max="16130" width="12" style="50" customWidth="1"/>
    <col min="16131" max="16131" width="31.81640625" style="50" customWidth="1"/>
    <col min="16132" max="16132" width="19" style="50" customWidth="1"/>
    <col min="16133" max="16133" width="5.7265625" style="50" customWidth="1"/>
    <col min="16134" max="16134" width="11.54296875" style="50" customWidth="1"/>
    <col min="16135" max="16135" width="1.26953125" style="50" customWidth="1"/>
    <col min="16136" max="16136" width="6.54296875" style="50" customWidth="1"/>
    <col min="16137" max="16137" width="3.1796875" style="50" customWidth="1"/>
    <col min="16138" max="16138" width="21.7265625" style="50" customWidth="1"/>
    <col min="16139" max="16139" width="7.81640625" style="50" customWidth="1"/>
    <col min="16140" max="16165" width="0" style="50" hidden="1" customWidth="1"/>
    <col min="16166" max="16384" width="9.1796875" style="50"/>
  </cols>
  <sheetData>
    <row r="1" spans="1:25" ht="26.25" customHeight="1" x14ac:dyDescent="0.35">
      <c r="A1" s="369" t="s">
        <v>87</v>
      </c>
      <c r="B1" s="369"/>
      <c r="C1" s="369"/>
      <c r="D1" s="369"/>
      <c r="E1" s="369"/>
      <c r="F1" s="369"/>
      <c r="G1" s="369"/>
      <c r="H1" s="369"/>
      <c r="I1" s="369"/>
      <c r="J1" s="369"/>
      <c r="K1" s="247"/>
    </row>
    <row r="2" spans="1:25" ht="16.5" customHeight="1" thickBot="1" x14ac:dyDescent="0.4">
      <c r="A2" s="51"/>
      <c r="B2" s="52"/>
      <c r="C2" s="52"/>
      <c r="D2" s="53" t="s">
        <v>88</v>
      </c>
      <c r="E2" s="53"/>
      <c r="F2" s="372" t="s">
        <v>89</v>
      </c>
      <c r="G2" s="372"/>
      <c r="H2" s="372"/>
      <c r="I2" s="372"/>
      <c r="J2" s="54"/>
      <c r="K2" s="55"/>
      <c r="L2" s="55"/>
    </row>
    <row r="3" spans="1:25" ht="16.5" customHeight="1" x14ac:dyDescent="0.35">
      <c r="A3" s="56" t="s">
        <v>90</v>
      </c>
      <c r="B3" s="57"/>
      <c r="C3" s="57"/>
      <c r="D3" s="57"/>
      <c r="E3" s="57"/>
      <c r="F3" s="58"/>
      <c r="G3" s="58"/>
      <c r="H3" s="58"/>
      <c r="I3" s="58"/>
      <c r="J3" s="58"/>
      <c r="K3" s="55"/>
      <c r="L3" s="55"/>
    </row>
    <row r="4" spans="1:25" ht="16.5" customHeight="1" x14ac:dyDescent="0.35">
      <c r="A4" s="56"/>
      <c r="B4" s="57" t="s">
        <v>91</v>
      </c>
      <c r="C4" s="57"/>
      <c r="D4" s="182"/>
      <c r="E4" s="57"/>
      <c r="F4" s="58"/>
      <c r="G4" s="58"/>
      <c r="H4" s="58"/>
      <c r="I4" s="58"/>
      <c r="J4" s="58"/>
      <c r="K4" s="55"/>
      <c r="L4" s="55"/>
    </row>
    <row r="5" spans="1:25" ht="16.5" customHeight="1" x14ac:dyDescent="0.35">
      <c r="B5" s="57" t="s">
        <v>92</v>
      </c>
      <c r="C5" s="57"/>
      <c r="D5" s="183"/>
      <c r="E5" s="60"/>
      <c r="F5" s="61"/>
      <c r="G5" s="62"/>
      <c r="H5" s="62"/>
      <c r="I5" s="62"/>
      <c r="J5" s="62"/>
      <c r="K5" s="55"/>
      <c r="L5" s="55"/>
    </row>
    <row r="6" spans="1:25" ht="16.5" customHeight="1" x14ac:dyDescent="0.35">
      <c r="B6" s="57" t="s">
        <v>93</v>
      </c>
      <c r="C6" s="57"/>
      <c r="D6" s="183"/>
      <c r="E6" s="60"/>
      <c r="F6" s="61"/>
      <c r="G6" s="62"/>
      <c r="H6" s="62"/>
      <c r="I6" s="62"/>
      <c r="J6" s="62"/>
      <c r="K6" s="55"/>
      <c r="L6" s="55"/>
    </row>
    <row r="7" spans="1:25" ht="23.25" customHeight="1" x14ac:dyDescent="0.35">
      <c r="B7" s="34" t="s">
        <v>94</v>
      </c>
      <c r="C7" s="57"/>
      <c r="D7" s="59">
        <f>SUM(D4:D6)</f>
        <v>0</v>
      </c>
      <c r="E7" s="60"/>
      <c r="F7" s="61"/>
      <c r="G7" s="62"/>
      <c r="H7" s="62"/>
      <c r="I7" s="62"/>
      <c r="J7" s="62"/>
      <c r="K7" s="55"/>
      <c r="L7" s="55"/>
    </row>
    <row r="8" spans="1:25" ht="24.75" customHeight="1" x14ac:dyDescent="0.35">
      <c r="A8" s="56" t="s">
        <v>95</v>
      </c>
      <c r="B8" s="34"/>
      <c r="C8" s="57"/>
      <c r="D8" s="61"/>
      <c r="E8" s="60"/>
      <c r="F8" s="61"/>
      <c r="G8" s="62"/>
      <c r="H8" s="62"/>
      <c r="I8" s="62"/>
      <c r="J8" s="62"/>
      <c r="K8" s="55"/>
      <c r="L8" s="55"/>
    </row>
    <row r="9" spans="1:25" ht="16.5" customHeight="1" x14ac:dyDescent="0.35">
      <c r="B9" s="57" t="s">
        <v>96</v>
      </c>
      <c r="C9" s="57"/>
      <c r="D9" s="183"/>
      <c r="E9" s="60"/>
      <c r="F9" s="61" t="s">
        <v>97</v>
      </c>
      <c r="G9" s="62"/>
      <c r="H9" s="62"/>
      <c r="I9" s="62"/>
      <c r="J9" s="62"/>
      <c r="K9" s="55"/>
      <c r="L9" s="55"/>
    </row>
    <row r="10" spans="1:25" ht="16.5" customHeight="1" x14ac:dyDescent="0.35">
      <c r="B10" s="57" t="s">
        <v>98</v>
      </c>
      <c r="C10" s="57"/>
      <c r="D10" s="184"/>
      <c r="E10" s="60"/>
      <c r="F10" s="61" t="s">
        <v>99</v>
      </c>
      <c r="G10" s="62"/>
      <c r="H10" s="62"/>
      <c r="I10" s="62"/>
      <c r="J10" s="62"/>
      <c r="K10" s="55"/>
      <c r="L10" s="55"/>
    </row>
    <row r="11" spans="1:25" ht="21" customHeight="1" x14ac:dyDescent="0.35">
      <c r="B11" s="34" t="s">
        <v>100</v>
      </c>
      <c r="C11" s="57"/>
      <c r="D11" s="63">
        <f>SUM(D9:D10)</f>
        <v>0</v>
      </c>
      <c r="E11" s="61"/>
      <c r="F11" s="61"/>
      <c r="G11" s="62"/>
      <c r="H11" s="62"/>
      <c r="I11" s="62"/>
      <c r="J11" s="62"/>
      <c r="K11" s="55"/>
      <c r="L11" s="55"/>
    </row>
    <row r="12" spans="1:25" ht="22.5" customHeight="1" x14ac:dyDescent="0.35">
      <c r="B12" s="34" t="s">
        <v>101</v>
      </c>
      <c r="C12" s="57"/>
      <c r="D12" s="59">
        <f>D7-D11</f>
        <v>0</v>
      </c>
      <c r="E12" s="61"/>
      <c r="F12" s="61" t="s">
        <v>102</v>
      </c>
      <c r="G12" s="62"/>
      <c r="H12" s="62"/>
      <c r="I12" s="62"/>
      <c r="J12" s="62"/>
      <c r="K12" s="55"/>
      <c r="L12" s="55"/>
    </row>
    <row r="13" spans="1:25" ht="26.25" customHeight="1" x14ac:dyDescent="0.35">
      <c r="A13" s="56" t="s">
        <v>103</v>
      </c>
      <c r="B13" s="57"/>
      <c r="C13" s="57"/>
      <c r="D13" s="61"/>
      <c r="E13" s="61"/>
      <c r="F13" s="61" t="s">
        <v>104</v>
      </c>
      <c r="G13" s="62"/>
      <c r="H13" s="62"/>
      <c r="I13" s="62"/>
      <c r="J13" s="62"/>
      <c r="K13" s="55"/>
      <c r="L13" s="55"/>
    </row>
    <row r="14" spans="1:25" ht="16.5" customHeight="1" x14ac:dyDescent="0.35">
      <c r="A14" s="56"/>
      <c r="B14" s="57" t="s">
        <v>105</v>
      </c>
      <c r="C14" s="57"/>
      <c r="D14" s="183"/>
      <c r="E14" s="60"/>
      <c r="F14" s="61"/>
      <c r="G14" s="62"/>
      <c r="H14" s="62"/>
      <c r="I14" s="62"/>
      <c r="J14" s="62"/>
      <c r="K14" s="55"/>
      <c r="L14" s="55"/>
      <c r="U14" s="50" t="s">
        <v>106</v>
      </c>
    </row>
    <row r="15" spans="1:25" ht="16.5" customHeight="1" x14ac:dyDescent="0.35">
      <c r="A15" s="56"/>
      <c r="B15" s="57" t="s">
        <v>107</v>
      </c>
      <c r="C15" s="57"/>
      <c r="D15" s="183"/>
      <c r="E15" s="60"/>
      <c r="F15" s="373" t="s">
        <v>108</v>
      </c>
      <c r="G15" s="373"/>
      <c r="H15" s="373"/>
      <c r="I15" s="373"/>
      <c r="J15" s="62"/>
      <c r="K15" s="55"/>
      <c r="L15" s="55"/>
      <c r="N15" s="50" t="s">
        <v>109</v>
      </c>
      <c r="U15" s="50">
        <v>20</v>
      </c>
      <c r="V15" s="64">
        <f>T262</f>
        <v>1100324.4653987372</v>
      </c>
      <c r="W15" s="50" t="s">
        <v>110</v>
      </c>
    </row>
    <row r="16" spans="1:25" ht="16.5" customHeight="1" x14ac:dyDescent="0.35">
      <c r="A16" s="56"/>
      <c r="B16" s="57" t="s">
        <v>111</v>
      </c>
      <c r="C16" s="57"/>
      <c r="D16" s="183"/>
      <c r="E16" s="60"/>
      <c r="F16" s="373" t="s">
        <v>112</v>
      </c>
      <c r="G16" s="373"/>
      <c r="H16" s="373"/>
      <c r="I16" s="373"/>
      <c r="J16" s="62"/>
      <c r="K16" s="55"/>
      <c r="L16" s="55"/>
      <c r="U16" s="50">
        <v>30</v>
      </c>
      <c r="V16" s="64">
        <f>T382</f>
        <v>3000000</v>
      </c>
      <c r="W16" s="50" t="s">
        <v>113</v>
      </c>
      <c r="Y16" s="65">
        <v>3000000</v>
      </c>
    </row>
    <row r="17" spans="1:27" ht="24" customHeight="1" x14ac:dyDescent="0.35">
      <c r="B17" s="34" t="s">
        <v>114</v>
      </c>
      <c r="C17" s="57"/>
      <c r="D17" s="66">
        <f>SUM(D14:D16)</f>
        <v>0</v>
      </c>
      <c r="E17" s="67"/>
      <c r="F17" s="68"/>
      <c r="G17" s="69"/>
      <c r="H17" s="69"/>
      <c r="I17" s="69"/>
      <c r="J17" s="62"/>
      <c r="K17" s="55"/>
      <c r="L17" s="55"/>
      <c r="T17" s="70">
        <v>0.08</v>
      </c>
      <c r="U17" s="50">
        <v>40</v>
      </c>
      <c r="V17" s="64">
        <f>T502</f>
        <v>7408390.0036544958</v>
      </c>
      <c r="W17" s="50" t="s">
        <v>115</v>
      </c>
      <c r="Y17" s="50" t="s">
        <v>47</v>
      </c>
    </row>
    <row r="18" spans="1:27" ht="24" customHeight="1" x14ac:dyDescent="0.35">
      <c r="A18" s="56" t="s">
        <v>116</v>
      </c>
      <c r="B18" s="57"/>
      <c r="C18" s="57"/>
      <c r="D18" s="61"/>
      <c r="E18" s="61"/>
      <c r="F18" s="61"/>
      <c r="G18" s="62"/>
      <c r="H18" s="62"/>
      <c r="I18" s="62"/>
      <c r="J18" s="62"/>
      <c r="K18" s="55"/>
      <c r="L18" s="55"/>
      <c r="R18" s="71">
        <v>0.03</v>
      </c>
      <c r="T18" s="70">
        <f>T17/12</f>
        <v>6.6666666666666671E-3</v>
      </c>
      <c r="Y18" s="50">
        <v>20</v>
      </c>
      <c r="Z18" s="50">
        <v>30</v>
      </c>
      <c r="AA18" s="50">
        <v>40</v>
      </c>
    </row>
    <row r="19" spans="1:27" ht="16.5" customHeight="1" x14ac:dyDescent="0.35">
      <c r="B19" s="57" t="s">
        <v>117</v>
      </c>
      <c r="C19" s="57"/>
      <c r="D19" s="183"/>
      <c r="E19" s="60"/>
      <c r="F19" s="61" t="s">
        <v>118</v>
      </c>
      <c r="G19" s="62"/>
      <c r="H19" s="62"/>
      <c r="I19" s="62"/>
      <c r="J19" s="62"/>
      <c r="K19" s="55"/>
      <c r="L19" s="55"/>
      <c r="Q19" s="50">
        <v>1</v>
      </c>
      <c r="R19" s="50">
        <v>1491.0400041675171</v>
      </c>
      <c r="T19" s="64">
        <f>R19*(1+$T$18)</f>
        <v>1500.980270861967</v>
      </c>
      <c r="Y19" s="50">
        <v>2710</v>
      </c>
      <c r="Z19" s="50">
        <v>1250</v>
      </c>
      <c r="AA19" s="50">
        <v>600</v>
      </c>
    </row>
    <row r="20" spans="1:27" ht="16.5" customHeight="1" x14ac:dyDescent="0.35">
      <c r="B20" s="57" t="s">
        <v>119</v>
      </c>
      <c r="C20" s="57"/>
      <c r="D20" s="61"/>
      <c r="E20" s="61"/>
      <c r="F20" s="61" t="s">
        <v>120</v>
      </c>
      <c r="G20" s="62"/>
      <c r="H20" s="62"/>
      <c r="I20" s="62"/>
      <c r="J20" s="62"/>
      <c r="K20" s="55"/>
      <c r="L20" s="55"/>
      <c r="Q20" s="50">
        <v>2</v>
      </c>
      <c r="R20" s="50">
        <f>R19</f>
        <v>1491.0400041675171</v>
      </c>
      <c r="T20" s="64">
        <f>(T19+R20)*(1+$T$18)</f>
        <v>3011.9670768630135</v>
      </c>
    </row>
    <row r="21" spans="1:27" ht="16.5" customHeight="1" x14ac:dyDescent="0.35">
      <c r="B21" s="57" t="s">
        <v>121</v>
      </c>
      <c r="C21" s="57"/>
      <c r="D21" s="183"/>
      <c r="E21" s="60"/>
      <c r="F21" s="61"/>
      <c r="G21" s="62"/>
      <c r="H21" s="62"/>
      <c r="I21" s="62"/>
      <c r="J21" s="62"/>
      <c r="K21" s="55"/>
      <c r="L21" s="55"/>
      <c r="Q21" s="50">
        <v>3</v>
      </c>
      <c r="R21" s="50">
        <f t="shared" ref="R21:R30" si="0">R20</f>
        <v>1491.0400041675171</v>
      </c>
      <c r="T21" s="64">
        <f t="shared" ref="T21:T85" si="1">(T20+R21)*(1+$T$18)</f>
        <v>4533.0271282374006</v>
      </c>
    </row>
    <row r="22" spans="1:27" ht="16.5" customHeight="1" x14ac:dyDescent="0.35">
      <c r="B22" s="57" t="s">
        <v>122</v>
      </c>
      <c r="C22" s="57"/>
      <c r="D22" s="183"/>
      <c r="E22" s="60"/>
      <c r="F22" s="61"/>
      <c r="G22" s="62"/>
      <c r="H22" s="62"/>
      <c r="I22" s="62"/>
      <c r="J22" s="62"/>
      <c r="K22" s="55"/>
      <c r="L22" s="55"/>
      <c r="Q22" s="50">
        <v>4</v>
      </c>
      <c r="R22" s="50">
        <f t="shared" si="0"/>
        <v>1491.0400041675171</v>
      </c>
      <c r="T22" s="64">
        <f t="shared" si="1"/>
        <v>6064.227579954284</v>
      </c>
    </row>
    <row r="23" spans="1:27" ht="16.5" customHeight="1" x14ac:dyDescent="0.35">
      <c r="B23" s="57" t="s">
        <v>123</v>
      </c>
      <c r="C23" s="57"/>
      <c r="D23" s="183"/>
      <c r="E23" s="60"/>
      <c r="F23" s="61"/>
      <c r="G23" s="62"/>
      <c r="H23" s="62"/>
      <c r="I23" s="62"/>
      <c r="J23" s="62"/>
      <c r="K23" s="55"/>
      <c r="L23" s="55"/>
      <c r="Q23" s="50">
        <v>5</v>
      </c>
      <c r="R23" s="50">
        <f t="shared" si="0"/>
        <v>1491.0400041675171</v>
      </c>
      <c r="T23" s="64">
        <f t="shared" si="1"/>
        <v>7605.6360346826123</v>
      </c>
    </row>
    <row r="24" spans="1:27" ht="16.5" customHeight="1" x14ac:dyDescent="0.35">
      <c r="B24" s="57" t="s">
        <v>124</v>
      </c>
      <c r="C24" s="57"/>
      <c r="D24" s="183"/>
      <c r="E24" s="60"/>
      <c r="F24" s="61"/>
      <c r="G24" s="62"/>
      <c r="H24" s="62"/>
      <c r="I24" s="62"/>
      <c r="J24" s="62"/>
      <c r="K24" s="55"/>
      <c r="L24" s="55"/>
      <c r="Q24" s="50">
        <v>6</v>
      </c>
      <c r="R24" s="50">
        <f t="shared" si="0"/>
        <v>1491.0400041675171</v>
      </c>
      <c r="T24" s="64">
        <f t="shared" si="1"/>
        <v>9157.3205457757958</v>
      </c>
    </row>
    <row r="25" spans="1:27" ht="16.5" customHeight="1" x14ac:dyDescent="0.35">
      <c r="B25" s="57" t="s">
        <v>125</v>
      </c>
      <c r="C25" s="57"/>
      <c r="D25" s="61"/>
      <c r="E25" s="61"/>
      <c r="F25" s="61" t="s">
        <v>126</v>
      </c>
      <c r="G25" s="62"/>
      <c r="H25" s="62"/>
      <c r="I25" s="62"/>
      <c r="J25" s="62"/>
      <c r="K25" s="55"/>
      <c r="L25" s="55"/>
      <c r="Q25" s="50">
        <v>7</v>
      </c>
      <c r="R25" s="50">
        <f t="shared" si="0"/>
        <v>1491.0400041675171</v>
      </c>
      <c r="T25" s="64">
        <f t="shared" si="1"/>
        <v>10719.349620276267</v>
      </c>
    </row>
    <row r="26" spans="1:27" ht="16.5" customHeight="1" x14ac:dyDescent="0.35">
      <c r="B26" s="57" t="s">
        <v>127</v>
      </c>
      <c r="C26" s="57"/>
      <c r="D26" s="183"/>
      <c r="E26" s="60"/>
      <c r="F26" s="61"/>
      <c r="G26" s="62"/>
      <c r="H26" s="62"/>
      <c r="I26" s="62"/>
      <c r="J26" s="62"/>
      <c r="K26" s="55"/>
      <c r="L26" s="55"/>
      <c r="Q26" s="50">
        <v>8</v>
      </c>
      <c r="R26" s="50">
        <f t="shared" si="0"/>
        <v>1491.0400041675171</v>
      </c>
      <c r="T26" s="64">
        <f t="shared" si="1"/>
        <v>12291.792221940075</v>
      </c>
    </row>
    <row r="27" spans="1:27" ht="16.5" customHeight="1" x14ac:dyDescent="0.35">
      <c r="B27" s="57" t="s">
        <v>128</v>
      </c>
      <c r="C27" s="57"/>
      <c r="D27" s="183"/>
      <c r="E27" s="60"/>
      <c r="F27" s="61"/>
      <c r="G27" s="62"/>
      <c r="H27" s="62"/>
      <c r="I27" s="62"/>
      <c r="J27" s="62"/>
      <c r="K27" s="55"/>
      <c r="L27" s="55"/>
      <c r="Q27" s="50">
        <v>9</v>
      </c>
      <c r="R27" s="50">
        <f t="shared" si="0"/>
        <v>1491.0400041675171</v>
      </c>
      <c r="T27" s="64">
        <f t="shared" si="1"/>
        <v>13874.717774281642</v>
      </c>
    </row>
    <row r="28" spans="1:27" ht="16.5" customHeight="1" x14ac:dyDescent="0.35">
      <c r="B28" s="57" t="s">
        <v>129</v>
      </c>
      <c r="C28" s="57"/>
      <c r="D28" s="183"/>
      <c r="E28" s="60"/>
      <c r="F28" s="61"/>
      <c r="G28" s="62"/>
      <c r="H28" s="62"/>
      <c r="I28" s="62"/>
      <c r="J28" s="62"/>
      <c r="K28" s="55"/>
      <c r="L28" s="55"/>
      <c r="Q28" s="50">
        <v>10</v>
      </c>
      <c r="R28" s="50">
        <f t="shared" si="0"/>
        <v>1491.0400041675171</v>
      </c>
      <c r="T28" s="64">
        <f t="shared" si="1"/>
        <v>15468.196163638819</v>
      </c>
    </row>
    <row r="29" spans="1:27" ht="16.5" customHeight="1" x14ac:dyDescent="0.35">
      <c r="B29" s="57" t="s">
        <v>130</v>
      </c>
      <c r="C29" s="57"/>
      <c r="D29" s="183"/>
      <c r="E29" s="60"/>
      <c r="F29" s="61" t="s">
        <v>131</v>
      </c>
      <c r="G29" s="62"/>
      <c r="H29" s="62"/>
      <c r="I29" s="62"/>
      <c r="J29" s="62"/>
      <c r="K29" s="55"/>
      <c r="L29" s="55"/>
      <c r="Q29" s="50">
        <v>11</v>
      </c>
      <c r="R29" s="50">
        <f t="shared" si="0"/>
        <v>1491.0400041675171</v>
      </c>
      <c r="T29" s="64">
        <f t="shared" si="1"/>
        <v>17072.297742258375</v>
      </c>
    </row>
    <row r="30" spans="1:27" ht="16.5" customHeight="1" x14ac:dyDescent="0.35">
      <c r="B30" s="57" t="s">
        <v>132</v>
      </c>
      <c r="C30" s="57"/>
      <c r="D30" s="183"/>
      <c r="E30" s="60"/>
      <c r="F30" s="61" t="s">
        <v>133</v>
      </c>
      <c r="G30" s="62"/>
      <c r="H30" s="62"/>
      <c r="I30" s="62"/>
      <c r="J30" s="62"/>
      <c r="K30" s="55"/>
      <c r="L30" s="55"/>
      <c r="Q30" s="50">
        <v>12</v>
      </c>
      <c r="R30" s="50">
        <f t="shared" si="0"/>
        <v>1491.0400041675171</v>
      </c>
      <c r="T30" s="64">
        <f t="shared" si="1"/>
        <v>18687.093331402062</v>
      </c>
    </row>
    <row r="31" spans="1:27" ht="16.5" customHeight="1" x14ac:dyDescent="0.35">
      <c r="B31" s="57" t="s">
        <v>134</v>
      </c>
      <c r="C31" s="57"/>
      <c r="D31" s="61"/>
      <c r="E31" s="61"/>
      <c r="F31" s="61"/>
      <c r="G31" s="62"/>
      <c r="H31" s="62"/>
      <c r="I31" s="62"/>
      <c r="J31" s="62"/>
      <c r="K31" s="55"/>
      <c r="L31" s="55"/>
      <c r="Q31" s="50">
        <v>13</v>
      </c>
      <c r="R31" s="50">
        <f>R19*(1+$R$18)</f>
        <v>1535.7712042925425</v>
      </c>
      <c r="T31" s="64">
        <f t="shared" si="1"/>
        <v>20357.683632599234</v>
      </c>
    </row>
    <row r="32" spans="1:27" ht="16.5" customHeight="1" x14ac:dyDescent="0.35">
      <c r="B32" s="57" t="s">
        <v>135</v>
      </c>
      <c r="C32" s="57"/>
      <c r="D32" s="183"/>
      <c r="E32" s="60"/>
      <c r="F32" s="61" t="s">
        <v>136</v>
      </c>
      <c r="G32" s="62"/>
      <c r="H32" s="62"/>
      <c r="I32" s="62"/>
      <c r="J32" s="62"/>
      <c r="K32" s="55"/>
      <c r="L32" s="55"/>
      <c r="Q32" s="50">
        <v>14</v>
      </c>
      <c r="R32" s="50">
        <f t="shared" ref="R32:R86" si="2">R20*(1+$R$18)</f>
        <v>1535.7712042925425</v>
      </c>
      <c r="T32" s="64">
        <f t="shared" si="1"/>
        <v>22039.411202471052</v>
      </c>
    </row>
    <row r="33" spans="2:20" ht="16.5" customHeight="1" x14ac:dyDescent="0.35">
      <c r="B33" s="57" t="s">
        <v>137</v>
      </c>
      <c r="C33" s="57"/>
      <c r="D33" s="183"/>
      <c r="E33" s="60"/>
      <c r="F33" s="61"/>
      <c r="G33" s="62"/>
      <c r="H33" s="62"/>
      <c r="I33" s="62"/>
      <c r="J33" s="62"/>
      <c r="K33" s="55"/>
      <c r="L33" s="55"/>
      <c r="Q33" s="50">
        <v>15</v>
      </c>
      <c r="R33" s="50">
        <f t="shared" si="2"/>
        <v>1535.7712042925425</v>
      </c>
      <c r="T33" s="64">
        <f t="shared" si="1"/>
        <v>23732.350289475347</v>
      </c>
    </row>
    <row r="34" spans="2:20" ht="16.5" customHeight="1" x14ac:dyDescent="0.35">
      <c r="B34" s="57" t="s">
        <v>138</v>
      </c>
      <c r="C34" s="57"/>
      <c r="D34" s="183"/>
      <c r="E34" s="60"/>
      <c r="F34" s="61" t="s">
        <v>139</v>
      </c>
      <c r="G34" s="62"/>
      <c r="H34" s="62"/>
      <c r="I34" s="62"/>
      <c r="J34" s="62"/>
      <c r="K34" s="55"/>
      <c r="L34" s="55"/>
      <c r="Q34" s="50">
        <v>16</v>
      </c>
      <c r="R34" s="50">
        <f t="shared" si="2"/>
        <v>1535.7712042925425</v>
      </c>
      <c r="T34" s="64">
        <f t="shared" si="1"/>
        <v>25436.575637059672</v>
      </c>
    </row>
    <row r="35" spans="2:20" ht="16.5" customHeight="1" x14ac:dyDescent="0.35">
      <c r="B35" s="57" t="s">
        <v>140</v>
      </c>
      <c r="C35" s="57"/>
      <c r="D35" s="183"/>
      <c r="E35" s="60"/>
      <c r="F35" s="61"/>
      <c r="G35" s="62"/>
      <c r="H35" s="62"/>
      <c r="I35" s="62"/>
      <c r="J35" s="62"/>
      <c r="K35" s="55"/>
      <c r="L35" s="55"/>
      <c r="Q35" s="50">
        <v>17</v>
      </c>
      <c r="R35" s="50">
        <f t="shared" si="2"/>
        <v>1535.7712042925425</v>
      </c>
      <c r="T35" s="64">
        <f t="shared" si="1"/>
        <v>27152.162486961228</v>
      </c>
    </row>
    <row r="36" spans="2:20" ht="16.5" customHeight="1" x14ac:dyDescent="0.35">
      <c r="B36" s="57" t="s">
        <v>141</v>
      </c>
      <c r="C36" s="57"/>
      <c r="D36" s="183"/>
      <c r="E36" s="60"/>
      <c r="F36" s="61" t="s">
        <v>142</v>
      </c>
      <c r="G36" s="62"/>
      <c r="H36" s="62"/>
      <c r="I36" s="62"/>
      <c r="J36" s="62"/>
      <c r="K36" s="55"/>
      <c r="L36" s="55"/>
      <c r="Q36" s="50">
        <v>18</v>
      </c>
      <c r="R36" s="50">
        <f t="shared" si="2"/>
        <v>1535.7712042925425</v>
      </c>
      <c r="T36" s="64">
        <f t="shared" si="1"/>
        <v>28879.186582528793</v>
      </c>
    </row>
    <row r="37" spans="2:20" ht="16.5" customHeight="1" x14ac:dyDescent="0.35">
      <c r="B37" s="57" t="s">
        <v>129</v>
      </c>
      <c r="C37" s="57"/>
      <c r="D37" s="183"/>
      <c r="E37" s="60"/>
      <c r="F37" s="61"/>
      <c r="G37" s="62"/>
      <c r="H37" s="62"/>
      <c r="I37" s="62"/>
      <c r="J37" s="62"/>
      <c r="K37" s="55"/>
      <c r="L37" s="55"/>
      <c r="Q37" s="50">
        <v>19</v>
      </c>
      <c r="R37" s="50">
        <f t="shared" si="2"/>
        <v>1535.7712042925425</v>
      </c>
      <c r="T37" s="64">
        <f t="shared" si="1"/>
        <v>30617.72417206681</v>
      </c>
    </row>
    <row r="38" spans="2:20" ht="16.5" customHeight="1" x14ac:dyDescent="0.35">
      <c r="B38" s="57" t="s">
        <v>143</v>
      </c>
      <c r="C38" s="57"/>
      <c r="D38" s="183"/>
      <c r="E38" s="60"/>
      <c r="F38" s="61" t="s">
        <v>133</v>
      </c>
      <c r="G38" s="62"/>
      <c r="H38" s="62"/>
      <c r="I38" s="62"/>
      <c r="J38" s="62"/>
      <c r="K38" s="55"/>
      <c r="L38" s="55"/>
      <c r="Q38" s="50">
        <v>20</v>
      </c>
      <c r="R38" s="50">
        <f t="shared" si="2"/>
        <v>1535.7712042925425</v>
      </c>
      <c r="T38" s="64">
        <f t="shared" si="1"/>
        <v>32367.852012201743</v>
      </c>
    </row>
    <row r="39" spans="2:20" ht="16.5" customHeight="1" x14ac:dyDescent="0.35">
      <c r="B39" s="57" t="s">
        <v>144</v>
      </c>
      <c r="C39" s="57"/>
      <c r="D39" s="183"/>
      <c r="E39" s="60"/>
      <c r="F39" s="61" t="s">
        <v>145</v>
      </c>
      <c r="G39" s="62"/>
      <c r="H39" s="62"/>
      <c r="I39" s="62"/>
      <c r="J39" s="62"/>
      <c r="K39" s="55"/>
      <c r="L39" s="55"/>
      <c r="Q39" s="50">
        <v>21</v>
      </c>
      <c r="R39" s="50">
        <f t="shared" si="2"/>
        <v>1535.7712042925425</v>
      </c>
      <c r="T39" s="64">
        <f t="shared" si="1"/>
        <v>34129.647371270912</v>
      </c>
    </row>
    <row r="40" spans="2:20" ht="16.5" customHeight="1" x14ac:dyDescent="0.35">
      <c r="B40" s="57" t="s">
        <v>146</v>
      </c>
      <c r="C40" s="57"/>
      <c r="D40" s="61"/>
      <c r="E40" s="61"/>
      <c r="F40" s="61"/>
      <c r="G40" s="62"/>
      <c r="H40" s="62"/>
      <c r="I40" s="62"/>
      <c r="J40" s="62"/>
      <c r="K40" s="55"/>
      <c r="L40" s="55"/>
      <c r="Q40" s="50">
        <v>22</v>
      </c>
      <c r="R40" s="50">
        <f t="shared" si="2"/>
        <v>1535.7712042925425</v>
      </c>
      <c r="T40" s="64">
        <f t="shared" si="1"/>
        <v>35903.188032733873</v>
      </c>
    </row>
    <row r="41" spans="2:20" ht="16.5" customHeight="1" x14ac:dyDescent="0.35">
      <c r="B41" s="57" t="s">
        <v>147</v>
      </c>
      <c r="C41" s="57"/>
      <c r="D41" s="183"/>
      <c r="E41" s="60"/>
      <c r="F41" s="61"/>
      <c r="G41" s="62"/>
      <c r="H41" s="62"/>
      <c r="I41" s="62"/>
      <c r="J41" s="62"/>
      <c r="K41" s="55"/>
      <c r="L41" s="55"/>
      <c r="Q41" s="50">
        <v>23</v>
      </c>
      <c r="R41" s="50">
        <f t="shared" si="2"/>
        <v>1535.7712042925425</v>
      </c>
      <c r="T41" s="64">
        <f t="shared" si="1"/>
        <v>37688.552298606592</v>
      </c>
    </row>
    <row r="42" spans="2:20" ht="16.5" customHeight="1" x14ac:dyDescent="0.35">
      <c r="B42" s="57" t="s">
        <v>129</v>
      </c>
      <c r="C42" s="57"/>
      <c r="D42" s="183"/>
      <c r="E42" s="60"/>
      <c r="F42" s="61"/>
      <c r="G42" s="62"/>
      <c r="H42" s="62"/>
      <c r="I42" s="62"/>
      <c r="J42" s="62"/>
      <c r="K42" s="55"/>
      <c r="L42" s="55"/>
      <c r="Q42" s="50">
        <v>24</v>
      </c>
      <c r="R42" s="50">
        <f t="shared" si="2"/>
        <v>1535.7712042925425</v>
      </c>
      <c r="T42" s="64">
        <f t="shared" si="1"/>
        <v>39485.818992918459</v>
      </c>
    </row>
    <row r="43" spans="2:20" ht="16.5" customHeight="1" x14ac:dyDescent="0.35">
      <c r="B43" s="57" t="s">
        <v>148</v>
      </c>
      <c r="C43" s="57"/>
      <c r="D43" s="183"/>
      <c r="E43" s="60"/>
      <c r="F43" s="61" t="s">
        <v>149</v>
      </c>
      <c r="G43" s="62"/>
      <c r="H43" s="62"/>
      <c r="I43" s="62"/>
      <c r="J43" s="62"/>
      <c r="K43" s="55"/>
      <c r="L43" s="55"/>
      <c r="Q43" s="50">
        <v>25</v>
      </c>
      <c r="R43" s="50">
        <f t="shared" si="2"/>
        <v>1581.8443404213187</v>
      </c>
      <c r="T43" s="64">
        <f t="shared" si="1"/>
        <v>41341.44775556204</v>
      </c>
    </row>
    <row r="44" spans="2:20" ht="16.5" customHeight="1" x14ac:dyDescent="0.35">
      <c r="B44" s="57" t="s">
        <v>150</v>
      </c>
      <c r="C44" s="57"/>
      <c r="D44" s="183"/>
      <c r="E44" s="60"/>
      <c r="F44" s="61" t="s">
        <v>133</v>
      </c>
      <c r="G44" s="62"/>
      <c r="H44" s="62"/>
      <c r="I44" s="62"/>
      <c r="J44" s="62"/>
      <c r="K44" s="55"/>
      <c r="L44" s="55"/>
      <c r="Q44" s="50">
        <v>26</v>
      </c>
      <c r="R44" s="50">
        <f t="shared" si="2"/>
        <v>1581.8443404213187</v>
      </c>
      <c r="T44" s="64">
        <f t="shared" si="1"/>
        <v>43209.44737662324</v>
      </c>
    </row>
    <row r="45" spans="2:20" ht="16.5" customHeight="1" x14ac:dyDescent="0.35">
      <c r="B45" s="57" t="s">
        <v>151</v>
      </c>
      <c r="C45" s="57"/>
      <c r="D45" s="183">
        <v>0</v>
      </c>
      <c r="E45" s="60"/>
      <c r="F45" s="61" t="s">
        <v>152</v>
      </c>
      <c r="G45" s="57"/>
      <c r="H45" s="57"/>
      <c r="I45" s="57"/>
      <c r="J45" s="57"/>
      <c r="L45" s="55"/>
      <c r="Q45" s="50">
        <v>27</v>
      </c>
      <c r="R45" s="50">
        <f t="shared" si="2"/>
        <v>1581.8443404213187</v>
      </c>
      <c r="T45" s="64">
        <f t="shared" si="1"/>
        <v>45089.900328491516</v>
      </c>
    </row>
    <row r="46" spans="2:20" ht="22.5" customHeight="1" x14ac:dyDescent="0.35">
      <c r="B46" s="34" t="s">
        <v>153</v>
      </c>
      <c r="C46" s="57"/>
      <c r="D46" s="187">
        <f>SUM(D19:D45)</f>
        <v>0</v>
      </c>
      <c r="E46" s="57"/>
      <c r="F46" s="57"/>
      <c r="G46" s="62"/>
      <c r="H46" s="62"/>
      <c r="I46" s="62"/>
      <c r="J46" s="62"/>
      <c r="K46" s="55"/>
      <c r="L46" s="55"/>
      <c r="Q46" s="50">
        <v>28</v>
      </c>
      <c r="R46" s="50">
        <f t="shared" si="2"/>
        <v>1581.8443404213187</v>
      </c>
      <c r="T46" s="64">
        <f t="shared" si="1"/>
        <v>46982.889633372251</v>
      </c>
    </row>
    <row r="47" spans="2:20" ht="19.5" customHeight="1" x14ac:dyDescent="0.35">
      <c r="B47" s="34" t="s">
        <v>154</v>
      </c>
      <c r="C47" s="34"/>
      <c r="D47" s="186">
        <f>D46*H47</f>
        <v>0</v>
      </c>
      <c r="E47" s="60"/>
      <c r="F47" s="61" t="s">
        <v>374</v>
      </c>
      <c r="G47" s="62"/>
      <c r="H47" s="188">
        <v>0.1</v>
      </c>
      <c r="I47" s="62"/>
      <c r="J47" s="62"/>
      <c r="K47" s="55"/>
      <c r="L47" s="55"/>
      <c r="Q47" s="50">
        <v>29</v>
      </c>
      <c r="R47" s="50">
        <f t="shared" si="2"/>
        <v>1581.8443404213187</v>
      </c>
      <c r="T47" s="64">
        <f t="shared" si="1"/>
        <v>48888.498866952192</v>
      </c>
    </row>
    <row r="48" spans="2:20" ht="18.75" customHeight="1" x14ac:dyDescent="0.35">
      <c r="B48" s="34" t="s">
        <v>155</v>
      </c>
      <c r="C48" s="57"/>
      <c r="D48" s="59">
        <f>SUM(D46:D47)</f>
        <v>0</v>
      </c>
      <c r="E48" s="60"/>
      <c r="F48" s="61" t="s">
        <v>379</v>
      </c>
      <c r="G48" s="62"/>
      <c r="H48" s="62"/>
      <c r="I48" s="62"/>
      <c r="J48" s="62"/>
      <c r="K48" s="55"/>
      <c r="L48" s="55"/>
      <c r="Q48" s="50">
        <v>30</v>
      </c>
      <c r="R48" s="50">
        <f t="shared" si="2"/>
        <v>1581.8443404213187</v>
      </c>
      <c r="T48" s="64">
        <f t="shared" si="1"/>
        <v>50806.812162089329</v>
      </c>
    </row>
    <row r="49" spans="1:20" ht="22.5" customHeight="1" x14ac:dyDescent="0.35">
      <c r="B49" s="34" t="s">
        <v>156</v>
      </c>
      <c r="C49" s="57"/>
      <c r="D49" s="185">
        <f>D12-D17-D48</f>
        <v>0</v>
      </c>
      <c r="E49" s="60"/>
      <c r="F49" s="61" t="s">
        <v>157</v>
      </c>
      <c r="G49" s="62"/>
      <c r="H49" s="62"/>
      <c r="I49" s="62"/>
      <c r="J49" s="62"/>
      <c r="K49" s="55"/>
      <c r="L49" s="55"/>
      <c r="Q49" s="50">
        <v>31</v>
      </c>
      <c r="R49" s="50">
        <f t="shared" si="2"/>
        <v>1581.8443404213187</v>
      </c>
      <c r="T49" s="64">
        <f t="shared" si="1"/>
        <v>52737.914212527379</v>
      </c>
    </row>
    <row r="50" spans="1:20" ht="6.75" customHeight="1" x14ac:dyDescent="0.35">
      <c r="B50" s="34"/>
      <c r="C50" s="57"/>
      <c r="D50" s="61"/>
      <c r="E50" s="61"/>
      <c r="F50" s="61"/>
      <c r="G50" s="62"/>
      <c r="H50" s="62"/>
      <c r="I50" s="62"/>
      <c r="J50" s="62"/>
      <c r="K50" s="55"/>
      <c r="L50" s="55"/>
      <c r="Q50" s="50">
        <v>32</v>
      </c>
      <c r="R50" s="50">
        <f t="shared" si="2"/>
        <v>1581.8443404213187</v>
      </c>
      <c r="T50" s="64">
        <f t="shared" si="1"/>
        <v>54681.890276635015</v>
      </c>
    </row>
    <row r="51" spans="1:20" ht="21.75" customHeight="1" x14ac:dyDescent="0.5">
      <c r="A51" s="374" t="s">
        <v>158</v>
      </c>
      <c r="B51" s="374"/>
      <c r="C51" s="374"/>
      <c r="D51" s="374"/>
      <c r="E51" s="374"/>
      <c r="F51" s="374"/>
      <c r="G51" s="374"/>
      <c r="H51" s="374"/>
      <c r="I51" s="374"/>
      <c r="J51" s="374"/>
      <c r="K51" s="55"/>
      <c r="L51" s="55"/>
      <c r="Q51" s="50">
        <v>33</v>
      </c>
      <c r="R51" s="50">
        <f t="shared" si="2"/>
        <v>1581.8443404213187</v>
      </c>
      <c r="T51" s="64">
        <f t="shared" si="1"/>
        <v>56638.826181170036</v>
      </c>
    </row>
    <row r="52" spans="1:20" ht="20.25" customHeight="1" x14ac:dyDescent="0.35">
      <c r="K52" s="55"/>
      <c r="L52" s="55"/>
      <c r="Q52" s="50">
        <v>34</v>
      </c>
      <c r="R52" s="50">
        <f t="shared" si="2"/>
        <v>1581.8443404213187</v>
      </c>
      <c r="T52" s="64">
        <f t="shared" si="1"/>
        <v>58608.808325068625</v>
      </c>
    </row>
    <row r="53" spans="1:20" ht="16.5" customHeight="1" x14ac:dyDescent="0.4">
      <c r="B53" s="72" t="s">
        <v>159</v>
      </c>
      <c r="L53" s="55"/>
      <c r="Q53" s="50">
        <v>35</v>
      </c>
      <c r="R53" s="50">
        <f t="shared" si="2"/>
        <v>1581.8443404213187</v>
      </c>
      <c r="T53" s="64">
        <f t="shared" si="1"/>
        <v>60591.923683259869</v>
      </c>
    </row>
    <row r="54" spans="1:20" ht="22.5" customHeight="1" x14ac:dyDescent="0.35">
      <c r="A54" s="50">
        <v>1</v>
      </c>
      <c r="B54" s="50" t="s">
        <v>160</v>
      </c>
      <c r="D54" s="65"/>
      <c r="F54" s="375"/>
      <c r="G54" s="375"/>
      <c r="H54" s="375"/>
      <c r="I54" s="375"/>
      <c r="L54" s="55"/>
      <c r="Q54" s="50">
        <v>36</v>
      </c>
      <c r="R54" s="50">
        <f t="shared" si="2"/>
        <v>1581.8443404213187</v>
      </c>
      <c r="T54" s="64">
        <f t="shared" si="1"/>
        <v>62588.259810505726</v>
      </c>
    </row>
    <row r="55" spans="1:20" ht="12" customHeight="1" x14ac:dyDescent="0.35">
      <c r="B55" s="112" t="s">
        <v>200</v>
      </c>
      <c r="D55" s="65"/>
      <c r="F55" s="126"/>
      <c r="G55" s="126"/>
      <c r="H55" s="126"/>
      <c r="I55" s="126"/>
      <c r="L55" s="55"/>
      <c r="T55" s="64"/>
    </row>
    <row r="56" spans="1:20" ht="23.25" customHeight="1" x14ac:dyDescent="0.35">
      <c r="A56" s="50">
        <v>2</v>
      </c>
      <c r="B56" s="50" t="s">
        <v>161</v>
      </c>
      <c r="F56" s="375"/>
      <c r="G56" s="375"/>
      <c r="H56" s="375"/>
      <c r="I56" s="375"/>
      <c r="L56" s="55"/>
      <c r="Q56" s="50">
        <v>37</v>
      </c>
      <c r="R56" s="50">
        <f t="shared" ref="R56:R67" si="3">R43*(1+$R$18)</f>
        <v>1629.2996706339584</v>
      </c>
      <c r="T56" s="64">
        <f>(T54+R56)*(1+$T$18)</f>
        <v>64645.676544347283</v>
      </c>
    </row>
    <row r="57" spans="1:20" ht="22.5" customHeight="1" x14ac:dyDescent="0.35">
      <c r="A57" s="50">
        <v>3</v>
      </c>
      <c r="B57" s="50" t="s">
        <v>162</v>
      </c>
      <c r="F57" s="376">
        <f>F54-F56</f>
        <v>0</v>
      </c>
      <c r="G57" s="376"/>
      <c r="H57" s="376"/>
      <c r="I57" s="376"/>
      <c r="J57" s="50" t="s">
        <v>163</v>
      </c>
      <c r="L57" s="55"/>
      <c r="Q57" s="50">
        <v>38</v>
      </c>
      <c r="R57" s="50">
        <f t="shared" si="3"/>
        <v>1629.2996706339584</v>
      </c>
      <c r="T57" s="64">
        <f t="shared" si="1"/>
        <v>66716.809389747781</v>
      </c>
    </row>
    <row r="58" spans="1:20" ht="21" customHeight="1" x14ac:dyDescent="0.35">
      <c r="A58" s="50">
        <v>4</v>
      </c>
      <c r="B58" s="50" t="s">
        <v>164</v>
      </c>
      <c r="F58" s="377"/>
      <c r="G58" s="377"/>
      <c r="H58" s="377"/>
      <c r="I58" s="377"/>
      <c r="L58" s="55"/>
      <c r="Q58" s="50">
        <v>39</v>
      </c>
      <c r="R58" s="50">
        <f t="shared" si="3"/>
        <v>1629.2996706339584</v>
      </c>
      <c r="T58" s="64">
        <f t="shared" si="1"/>
        <v>68801.749787450943</v>
      </c>
    </row>
    <row r="59" spans="1:20" ht="21.75" customHeight="1" x14ac:dyDescent="0.35">
      <c r="A59" s="50">
        <v>5</v>
      </c>
      <c r="B59" s="50" t="s">
        <v>165</v>
      </c>
      <c r="F59" s="376">
        <f>IFERROR(F57/F58,0)</f>
        <v>0</v>
      </c>
      <c r="G59" s="376"/>
      <c r="H59" s="376"/>
      <c r="I59" s="376"/>
      <c r="J59" s="50" t="s">
        <v>166</v>
      </c>
      <c r="L59" s="55"/>
      <c r="Q59" s="50">
        <v>40</v>
      </c>
      <c r="R59" s="50">
        <f t="shared" si="3"/>
        <v>1629.2996706339584</v>
      </c>
      <c r="T59" s="64">
        <f t="shared" si="1"/>
        <v>70900.589787805467</v>
      </c>
    </row>
    <row r="60" spans="1:20" ht="20.25" customHeight="1" x14ac:dyDescent="0.35">
      <c r="L60" s="55"/>
      <c r="Q60" s="50">
        <v>41</v>
      </c>
      <c r="R60" s="50">
        <f t="shared" si="3"/>
        <v>1629.2996706339584</v>
      </c>
      <c r="T60" s="64">
        <f t="shared" si="1"/>
        <v>73013.422054829018</v>
      </c>
    </row>
    <row r="61" spans="1:20" ht="45" customHeight="1" x14ac:dyDescent="0.4">
      <c r="B61" s="72" t="s">
        <v>167</v>
      </c>
      <c r="L61" s="55"/>
      <c r="Q61" s="50">
        <v>42</v>
      </c>
      <c r="R61" s="50">
        <f t="shared" si="3"/>
        <v>1629.2996706339584</v>
      </c>
      <c r="T61" s="64">
        <f t="shared" si="1"/>
        <v>75140.339870299387</v>
      </c>
    </row>
    <row r="62" spans="1:20" ht="23.25" customHeight="1" x14ac:dyDescent="0.35">
      <c r="B62" s="73" t="s">
        <v>168</v>
      </c>
      <c r="C62" s="73"/>
      <c r="D62" s="378" t="s">
        <v>169</v>
      </c>
      <c r="E62" s="378"/>
      <c r="F62" s="378"/>
      <c r="G62" s="73"/>
      <c r="H62" s="378" t="s">
        <v>170</v>
      </c>
      <c r="I62" s="378"/>
      <c r="J62" s="378"/>
      <c r="L62" s="55"/>
      <c r="Q62" s="50">
        <v>43</v>
      </c>
      <c r="R62" s="50">
        <f t="shared" si="3"/>
        <v>1629.2996706339584</v>
      </c>
      <c r="T62" s="64">
        <f t="shared" si="1"/>
        <v>77281.437137872897</v>
      </c>
    </row>
    <row r="63" spans="1:20" ht="20.25" customHeight="1" x14ac:dyDescent="0.35">
      <c r="B63" s="74" t="s">
        <v>171</v>
      </c>
      <c r="D63" s="370" t="s">
        <v>172</v>
      </c>
      <c r="E63" s="370"/>
      <c r="F63" s="370"/>
      <c r="H63" s="371" t="s">
        <v>173</v>
      </c>
      <c r="I63" s="371"/>
      <c r="J63" s="371"/>
      <c r="L63" s="55"/>
      <c r="Q63" s="50">
        <v>44</v>
      </c>
      <c r="R63" s="50">
        <f t="shared" si="3"/>
        <v>1629.2996706339584</v>
      </c>
      <c r="T63" s="64">
        <f t="shared" si="1"/>
        <v>79436.808387230238</v>
      </c>
    </row>
    <row r="64" spans="1:20" x14ac:dyDescent="0.35">
      <c r="B64" s="74" t="s">
        <v>174</v>
      </c>
      <c r="D64" s="385" t="s">
        <v>175</v>
      </c>
      <c r="E64" s="385"/>
      <c r="F64" s="385"/>
      <c r="H64" s="385" t="s">
        <v>176</v>
      </c>
      <c r="I64" s="385"/>
      <c r="J64" s="385"/>
      <c r="L64" s="55"/>
      <c r="Q64" s="50">
        <v>45</v>
      </c>
      <c r="R64" s="50">
        <f t="shared" si="3"/>
        <v>1629.2996706339584</v>
      </c>
      <c r="T64" s="64">
        <f t="shared" si="1"/>
        <v>81606.548778249955</v>
      </c>
    </row>
    <row r="65" spans="2:20" x14ac:dyDescent="0.35">
      <c r="B65" s="74" t="s">
        <v>177</v>
      </c>
      <c r="D65" s="385" t="s">
        <v>178</v>
      </c>
      <c r="E65" s="385"/>
      <c r="F65" s="385"/>
      <c r="H65" s="385" t="s">
        <v>179</v>
      </c>
      <c r="I65" s="385"/>
      <c r="J65" s="385"/>
      <c r="L65" s="55"/>
      <c r="Q65" s="50">
        <v>46</v>
      </c>
      <c r="R65" s="50">
        <f t="shared" si="3"/>
        <v>1629.2996706339584</v>
      </c>
      <c r="T65" s="64">
        <f t="shared" si="1"/>
        <v>83790.754105209809</v>
      </c>
    </row>
    <row r="66" spans="2:20" x14ac:dyDescent="0.35">
      <c r="L66" s="55"/>
      <c r="Q66" s="50">
        <v>47</v>
      </c>
      <c r="R66" s="50">
        <f t="shared" si="3"/>
        <v>1629.2996706339584</v>
      </c>
      <c r="T66" s="64">
        <f t="shared" si="1"/>
        <v>85989.520801016057</v>
      </c>
    </row>
    <row r="67" spans="2:20" x14ac:dyDescent="0.35">
      <c r="B67" s="50" t="s">
        <v>180</v>
      </c>
      <c r="Q67" s="50">
        <v>48</v>
      </c>
      <c r="R67" s="50">
        <f t="shared" si="3"/>
        <v>1629.2996706339584</v>
      </c>
      <c r="T67" s="64">
        <f t="shared" si="1"/>
        <v>88202.945941461017</v>
      </c>
    </row>
    <row r="68" spans="2:20" x14ac:dyDescent="0.35">
      <c r="C68" s="50" t="s">
        <v>181</v>
      </c>
      <c r="Q68" s="50">
        <v>49</v>
      </c>
      <c r="R68" s="50">
        <f t="shared" si="2"/>
        <v>1678.1786607529773</v>
      </c>
      <c r="T68" s="64">
        <f t="shared" si="1"/>
        <v>90480.332099562089</v>
      </c>
    </row>
    <row r="69" spans="2:20" x14ac:dyDescent="0.35">
      <c r="C69" s="50" t="s">
        <v>182</v>
      </c>
      <c r="Q69" s="50">
        <v>50</v>
      </c>
      <c r="R69" s="50">
        <f t="shared" si="2"/>
        <v>1678.1786607529773</v>
      </c>
      <c r="T69" s="64">
        <f t="shared" si="1"/>
        <v>92772.900832050495</v>
      </c>
    </row>
    <row r="70" spans="2:20" x14ac:dyDescent="0.35">
      <c r="C70" s="50" t="s">
        <v>183</v>
      </c>
      <c r="Q70" s="50">
        <v>51</v>
      </c>
      <c r="R70" s="50">
        <f t="shared" si="2"/>
        <v>1678.1786607529773</v>
      </c>
      <c r="T70" s="64">
        <f t="shared" si="1"/>
        <v>95080.753356088826</v>
      </c>
    </row>
    <row r="71" spans="2:20" x14ac:dyDescent="0.35">
      <c r="C71" s="50" t="s">
        <v>184</v>
      </c>
      <c r="Q71" s="50">
        <v>52</v>
      </c>
      <c r="R71" s="50">
        <f t="shared" si="2"/>
        <v>1678.1786607529773</v>
      </c>
      <c r="T71" s="64">
        <f t="shared" si="1"/>
        <v>97403.991563620744</v>
      </c>
    </row>
    <row r="72" spans="2:20" x14ac:dyDescent="0.35">
      <c r="Q72" s="50">
        <v>53</v>
      </c>
      <c r="R72" s="50">
        <f t="shared" si="2"/>
        <v>1678.1786607529773</v>
      </c>
      <c r="T72" s="64">
        <f t="shared" si="1"/>
        <v>99742.718025869544</v>
      </c>
    </row>
    <row r="73" spans="2:20" ht="36" customHeight="1" x14ac:dyDescent="0.4">
      <c r="B73" s="72" t="s">
        <v>185</v>
      </c>
      <c r="Q73" s="50">
        <v>54</v>
      </c>
      <c r="R73" s="50">
        <f t="shared" si="2"/>
        <v>1678.1786607529773</v>
      </c>
      <c r="T73" s="64">
        <f t="shared" si="1"/>
        <v>102097.03599786667</v>
      </c>
    </row>
    <row r="74" spans="2:20" ht="23.25" customHeight="1" x14ac:dyDescent="0.35">
      <c r="B74" s="73" t="s">
        <v>186</v>
      </c>
      <c r="C74" s="75">
        <v>25000</v>
      </c>
      <c r="D74" s="75">
        <v>50000</v>
      </c>
      <c r="E74" s="73"/>
      <c r="F74" s="386">
        <v>100000</v>
      </c>
      <c r="G74" s="386"/>
      <c r="H74" s="386"/>
      <c r="I74" s="122"/>
      <c r="J74" s="122"/>
      <c r="Q74" s="50">
        <v>55</v>
      </c>
      <c r="R74" s="50">
        <f t="shared" si="2"/>
        <v>1678.1786607529773</v>
      </c>
      <c r="T74" s="64">
        <f t="shared" si="1"/>
        <v>104467.04942301044</v>
      </c>
    </row>
    <row r="75" spans="2:20" ht="21" customHeight="1" x14ac:dyDescent="0.35">
      <c r="B75" s="74" t="s">
        <v>187</v>
      </c>
      <c r="C75" s="76" t="s">
        <v>188</v>
      </c>
      <c r="D75" s="76" t="s">
        <v>189</v>
      </c>
      <c r="F75" s="387" t="s">
        <v>190</v>
      </c>
      <c r="G75" s="387"/>
      <c r="H75" s="387"/>
      <c r="I75" s="123"/>
      <c r="J75" s="123"/>
      <c r="Q75" s="50">
        <v>56</v>
      </c>
      <c r="R75" s="50">
        <f t="shared" si="2"/>
        <v>1678.1786607529773</v>
      </c>
      <c r="T75" s="64">
        <f t="shared" si="1"/>
        <v>106852.86293765517</v>
      </c>
    </row>
    <row r="76" spans="2:20" x14ac:dyDescent="0.35">
      <c r="B76" s="74" t="s">
        <v>191</v>
      </c>
      <c r="C76" s="76" t="s">
        <v>192</v>
      </c>
      <c r="D76" s="76" t="s">
        <v>193</v>
      </c>
      <c r="F76" s="388" t="s">
        <v>178</v>
      </c>
      <c r="G76" s="388"/>
      <c r="H76" s="388"/>
      <c r="I76" s="124"/>
      <c r="J76" s="124"/>
      <c r="Q76" s="50">
        <v>57</v>
      </c>
      <c r="R76" s="50">
        <f t="shared" si="2"/>
        <v>1678.1786607529773</v>
      </c>
      <c r="T76" s="64">
        <f t="shared" si="1"/>
        <v>109254.58187573086</v>
      </c>
    </row>
    <row r="77" spans="2:20" x14ac:dyDescent="0.35">
      <c r="B77" s="74" t="s">
        <v>194</v>
      </c>
      <c r="C77" s="76" t="s">
        <v>195</v>
      </c>
      <c r="D77" s="76" t="s">
        <v>196</v>
      </c>
      <c r="F77" s="385" t="s">
        <v>188</v>
      </c>
      <c r="G77" s="385"/>
      <c r="H77" s="385"/>
      <c r="I77" s="125"/>
      <c r="J77" s="125"/>
      <c r="Q77" s="50">
        <v>58</v>
      </c>
      <c r="R77" s="50">
        <f t="shared" si="2"/>
        <v>1678.1786607529773</v>
      </c>
      <c r="T77" s="64">
        <f t="shared" si="1"/>
        <v>111672.31227339372</v>
      </c>
    </row>
    <row r="78" spans="2:20" x14ac:dyDescent="0.35">
      <c r="Q78" s="50">
        <v>59</v>
      </c>
      <c r="R78" s="50">
        <f t="shared" si="2"/>
        <v>1678.1786607529773</v>
      </c>
      <c r="T78" s="64">
        <f t="shared" si="1"/>
        <v>114106.16087370767</v>
      </c>
    </row>
    <row r="79" spans="2:20" x14ac:dyDescent="0.35">
      <c r="B79" s="50" t="s">
        <v>180</v>
      </c>
      <c r="Q79" s="50">
        <v>60</v>
      </c>
      <c r="R79" s="50">
        <f t="shared" si="2"/>
        <v>1678.1786607529773</v>
      </c>
      <c r="T79" s="64">
        <f t="shared" si="1"/>
        <v>116556.23513135705</v>
      </c>
    </row>
    <row r="80" spans="2:20" x14ac:dyDescent="0.35">
      <c r="C80" s="50" t="s">
        <v>197</v>
      </c>
      <c r="Q80" s="50">
        <v>61</v>
      </c>
      <c r="R80" s="50">
        <f t="shared" si="2"/>
        <v>1728.5240205755667</v>
      </c>
      <c r="T80" s="64">
        <f t="shared" si="1"/>
        <v>119073.3242129455</v>
      </c>
    </row>
    <row r="81" spans="2:20" x14ac:dyDescent="0.35">
      <c r="C81" s="50" t="s">
        <v>198</v>
      </c>
      <c r="Q81" s="50">
        <v>62</v>
      </c>
      <c r="R81" s="50">
        <f t="shared" si="2"/>
        <v>1728.5240205755667</v>
      </c>
      <c r="T81" s="64">
        <f t="shared" si="1"/>
        <v>121607.1938884112</v>
      </c>
    </row>
    <row r="82" spans="2:20" x14ac:dyDescent="0.35">
      <c r="C82" s="50" t="s">
        <v>199</v>
      </c>
      <c r="Q82" s="50">
        <v>63</v>
      </c>
      <c r="R82" s="50">
        <f t="shared" si="2"/>
        <v>1728.5240205755667</v>
      </c>
      <c r="T82" s="64">
        <f t="shared" si="1"/>
        <v>124157.95602838001</v>
      </c>
    </row>
    <row r="83" spans="2:20" x14ac:dyDescent="0.35">
      <c r="Q83" s="50">
        <v>64</v>
      </c>
      <c r="R83" s="50">
        <f t="shared" si="2"/>
        <v>1728.5240205755667</v>
      </c>
      <c r="T83" s="64">
        <f t="shared" si="1"/>
        <v>126725.72324928195</v>
      </c>
    </row>
    <row r="84" spans="2:20" x14ac:dyDescent="0.35">
      <c r="Q84" s="50">
        <v>65</v>
      </c>
      <c r="R84" s="50">
        <f t="shared" si="2"/>
        <v>1728.5240205755667</v>
      </c>
      <c r="T84" s="64">
        <f t="shared" si="1"/>
        <v>129310.60891832323</v>
      </c>
    </row>
    <row r="85" spans="2:20" ht="18" x14ac:dyDescent="0.4">
      <c r="B85" s="72" t="s">
        <v>265</v>
      </c>
      <c r="Q85" s="50">
        <v>66</v>
      </c>
      <c r="R85" s="50">
        <f t="shared" si="2"/>
        <v>1728.5240205755667</v>
      </c>
      <c r="T85" s="64">
        <f t="shared" si="1"/>
        <v>131912.72715849144</v>
      </c>
    </row>
    <row r="86" spans="2:20" ht="15.75" customHeight="1" x14ac:dyDescent="0.35">
      <c r="Q86" s="50">
        <v>67</v>
      </c>
      <c r="R86" s="50">
        <f t="shared" si="2"/>
        <v>1728.5240205755667</v>
      </c>
      <c r="T86" s="64">
        <f t="shared" ref="T86:T152" si="4">(T85+R86)*(1+$T$18)</f>
        <v>134532.19285359411</v>
      </c>
    </row>
    <row r="87" spans="2:20" ht="19.5" customHeight="1" x14ac:dyDescent="0.35">
      <c r="C87" s="50" t="s">
        <v>381</v>
      </c>
      <c r="F87" s="382">
        <f>D11</f>
        <v>0</v>
      </c>
      <c r="G87" s="378"/>
      <c r="H87" s="378"/>
      <c r="T87" s="64"/>
    </row>
    <row r="88" spans="2:20" ht="19.5" customHeight="1" thickBot="1" x14ac:dyDescent="0.4">
      <c r="C88" s="121" t="s">
        <v>382</v>
      </c>
      <c r="D88" s="51"/>
      <c r="E88" s="120" t="s">
        <v>266</v>
      </c>
      <c r="F88" s="383">
        <f>D48</f>
        <v>0</v>
      </c>
      <c r="G88" s="384"/>
      <c r="H88" s="384"/>
      <c r="T88" s="64"/>
    </row>
    <row r="89" spans="2:20" ht="19.5" customHeight="1" x14ac:dyDescent="0.35">
      <c r="C89" s="118" t="s">
        <v>383</v>
      </c>
      <c r="F89" s="382">
        <f>F87+F88</f>
        <v>0</v>
      </c>
      <c r="G89" s="378"/>
      <c r="H89" s="378"/>
      <c r="Q89" s="50">
        <v>68</v>
      </c>
      <c r="R89" s="50">
        <f t="shared" ref="R89" si="5">R75*(1+$R$18)</f>
        <v>1728.5240205755667</v>
      </c>
      <c r="T89" s="64">
        <f>(T86+R89)*(1+$T$18)</f>
        <v>137169.1216533308</v>
      </c>
    </row>
    <row r="90" spans="2:20" ht="19.5" customHeight="1" x14ac:dyDescent="0.35">
      <c r="C90" s="118" t="s">
        <v>384</v>
      </c>
      <c r="F90" s="389"/>
      <c r="G90" s="389"/>
      <c r="H90" s="389"/>
      <c r="T90" s="64"/>
    </row>
    <row r="91" spans="2:20" ht="19.5" customHeight="1" thickBot="1" x14ac:dyDescent="0.4">
      <c r="C91" s="51" t="s">
        <v>385</v>
      </c>
      <c r="D91" s="51"/>
      <c r="E91" s="119" t="s">
        <v>1</v>
      </c>
      <c r="F91" s="379"/>
      <c r="G91" s="380"/>
      <c r="H91" s="380"/>
      <c r="Q91" s="50">
        <v>69</v>
      </c>
      <c r="R91" s="50">
        <f t="shared" ref="R91:R101" si="6">R76*(1+$R$18)</f>
        <v>1728.5240205755667</v>
      </c>
      <c r="T91" s="64">
        <f>(T89+R91)*(1+$T$18)</f>
        <v>139823.62997839908</v>
      </c>
    </row>
    <row r="92" spans="2:20" ht="19.5" customHeight="1" x14ac:dyDescent="0.35">
      <c r="C92" s="118" t="s">
        <v>264</v>
      </c>
      <c r="E92" s="120" t="s">
        <v>2</v>
      </c>
      <c r="F92" s="381">
        <f>IFERROR(FV(F91,F90,,-F89),0)</f>
        <v>0</v>
      </c>
      <c r="G92" s="381"/>
      <c r="H92" s="381"/>
      <c r="Q92" s="50">
        <v>70</v>
      </c>
      <c r="R92" s="50">
        <f t="shared" si="6"/>
        <v>1728.5240205755667</v>
      </c>
      <c r="T92" s="64">
        <f t="shared" si="4"/>
        <v>142495.83502563447</v>
      </c>
    </row>
    <row r="93" spans="2:20" x14ac:dyDescent="0.35">
      <c r="C93" s="119" t="s">
        <v>386</v>
      </c>
      <c r="Q93" s="50">
        <v>71</v>
      </c>
      <c r="R93" s="50">
        <f t="shared" si="6"/>
        <v>1728.5240205755667</v>
      </c>
      <c r="T93" s="64">
        <f t="shared" si="4"/>
        <v>145185.85477318475</v>
      </c>
    </row>
    <row r="94" spans="2:20" x14ac:dyDescent="0.35">
      <c r="Q94" s="50">
        <v>72</v>
      </c>
      <c r="R94" s="50">
        <f t="shared" si="6"/>
        <v>1728.5240205755667</v>
      </c>
      <c r="T94" s="64">
        <f t="shared" si="4"/>
        <v>147893.80798571871</v>
      </c>
    </row>
    <row r="95" spans="2:20" x14ac:dyDescent="0.35">
      <c r="Q95" s="50">
        <v>73</v>
      </c>
      <c r="R95" s="50">
        <f t="shared" si="6"/>
        <v>1780.3797411928338</v>
      </c>
      <c r="T95" s="64">
        <f t="shared" si="4"/>
        <v>150672.01564509093</v>
      </c>
    </row>
    <row r="96" spans="2:20" x14ac:dyDescent="0.35">
      <c r="Q96" s="50">
        <v>74</v>
      </c>
      <c r="R96" s="50">
        <f t="shared" si="6"/>
        <v>1780.3797411928338</v>
      </c>
      <c r="T96" s="64">
        <f t="shared" si="4"/>
        <v>153468.74468885898</v>
      </c>
    </row>
    <row r="97" spans="17:20" x14ac:dyDescent="0.35">
      <c r="Q97" s="50">
        <v>75</v>
      </c>
      <c r="R97" s="50">
        <f t="shared" si="6"/>
        <v>1780.3797411928338</v>
      </c>
      <c r="T97" s="64">
        <f t="shared" si="4"/>
        <v>156284.11859291879</v>
      </c>
    </row>
    <row r="98" spans="17:20" x14ac:dyDescent="0.35">
      <c r="Q98" s="50">
        <v>76</v>
      </c>
      <c r="R98" s="50">
        <f t="shared" si="6"/>
        <v>1780.3797411928338</v>
      </c>
      <c r="T98" s="64">
        <f t="shared" si="4"/>
        <v>159118.26165633902</v>
      </c>
    </row>
    <row r="99" spans="17:20" x14ac:dyDescent="0.35">
      <c r="Q99" s="50">
        <v>77</v>
      </c>
      <c r="R99" s="50">
        <f t="shared" si="6"/>
        <v>1780.3797411928338</v>
      </c>
      <c r="T99" s="64">
        <f t="shared" si="4"/>
        <v>161971.29900684871</v>
      </c>
    </row>
    <row r="100" spans="17:20" x14ac:dyDescent="0.35">
      <c r="Q100" s="50">
        <v>78</v>
      </c>
      <c r="R100" s="50">
        <f t="shared" si="6"/>
        <v>1780.3797411928338</v>
      </c>
      <c r="T100" s="64">
        <f t="shared" si="4"/>
        <v>164843.35660636181</v>
      </c>
    </row>
    <row r="101" spans="17:20" x14ac:dyDescent="0.35">
      <c r="Q101" s="50">
        <v>79</v>
      </c>
      <c r="R101" s="50">
        <f t="shared" si="6"/>
        <v>1780.3797411928338</v>
      </c>
      <c r="T101" s="64">
        <f t="shared" si="4"/>
        <v>167734.56125653832</v>
      </c>
    </row>
    <row r="102" spans="17:20" x14ac:dyDescent="0.35">
      <c r="Q102" s="50">
        <v>80</v>
      </c>
      <c r="R102" s="50">
        <f>R89*(1+$R$18)</f>
        <v>1780.3797411928338</v>
      </c>
      <c r="T102" s="64">
        <f t="shared" si="4"/>
        <v>170645.04060438267</v>
      </c>
    </row>
    <row r="103" spans="17:20" x14ac:dyDescent="0.35">
      <c r="Q103" s="50">
        <v>81</v>
      </c>
      <c r="R103" s="50">
        <f t="shared" ref="R103:R163" si="7">R91*(1+$R$18)</f>
        <v>1780.3797411928338</v>
      </c>
      <c r="T103" s="64">
        <f t="shared" si="4"/>
        <v>173574.92314787931</v>
      </c>
    </row>
    <row r="104" spans="17:20" x14ac:dyDescent="0.35">
      <c r="Q104" s="50">
        <v>82</v>
      </c>
      <c r="R104" s="50">
        <f t="shared" si="7"/>
        <v>1780.3797411928338</v>
      </c>
      <c r="T104" s="64">
        <f t="shared" si="4"/>
        <v>176524.33824166594</v>
      </c>
    </row>
    <row r="105" spans="17:20" x14ac:dyDescent="0.35">
      <c r="Q105" s="50">
        <v>83</v>
      </c>
      <c r="R105" s="50">
        <f t="shared" si="7"/>
        <v>1780.3797411928338</v>
      </c>
      <c r="T105" s="64">
        <f t="shared" si="4"/>
        <v>179493.41610274449</v>
      </c>
    </row>
    <row r="106" spans="17:20" x14ac:dyDescent="0.35">
      <c r="Q106" s="50">
        <v>84</v>
      </c>
      <c r="R106" s="50">
        <f t="shared" si="7"/>
        <v>1780.3797411928338</v>
      </c>
      <c r="T106" s="64">
        <f t="shared" si="4"/>
        <v>182482.28781623021</v>
      </c>
    </row>
    <row r="107" spans="17:20" x14ac:dyDescent="0.35">
      <c r="Q107" s="50">
        <v>85</v>
      </c>
      <c r="R107" s="50">
        <f t="shared" si="7"/>
        <v>1833.7911334286189</v>
      </c>
      <c r="T107" s="64">
        <f t="shared" si="4"/>
        <v>185544.85280932323</v>
      </c>
    </row>
    <row r="108" spans="17:20" x14ac:dyDescent="0.35">
      <c r="Q108" s="50">
        <v>86</v>
      </c>
      <c r="R108" s="50">
        <f t="shared" si="7"/>
        <v>1833.7911334286189</v>
      </c>
      <c r="T108" s="64">
        <f t="shared" si="4"/>
        <v>188627.8349023702</v>
      </c>
    </row>
    <row r="109" spans="17:20" x14ac:dyDescent="0.35">
      <c r="Q109" s="50">
        <v>87</v>
      </c>
      <c r="R109" s="50">
        <f t="shared" si="7"/>
        <v>1833.7911334286189</v>
      </c>
      <c r="T109" s="64">
        <f t="shared" si="4"/>
        <v>191731.37020937083</v>
      </c>
    </row>
    <row r="110" spans="17:20" x14ac:dyDescent="0.35">
      <c r="Q110" s="50">
        <v>88</v>
      </c>
      <c r="R110" s="50">
        <f t="shared" si="7"/>
        <v>1833.7911334286189</v>
      </c>
      <c r="T110" s="64">
        <f t="shared" si="4"/>
        <v>194855.59575175145</v>
      </c>
    </row>
    <row r="111" spans="17:20" x14ac:dyDescent="0.35">
      <c r="Q111" s="50">
        <v>89</v>
      </c>
      <c r="R111" s="50">
        <f t="shared" si="7"/>
        <v>1833.7911334286189</v>
      </c>
      <c r="T111" s="64">
        <f t="shared" si="4"/>
        <v>198000.6494644146</v>
      </c>
    </row>
    <row r="112" spans="17:20" x14ac:dyDescent="0.35">
      <c r="Q112" s="50">
        <v>90</v>
      </c>
      <c r="R112" s="50">
        <f t="shared" si="7"/>
        <v>1833.7911334286189</v>
      </c>
      <c r="T112" s="64">
        <f t="shared" si="4"/>
        <v>201166.67020182885</v>
      </c>
    </row>
    <row r="113" spans="17:20" x14ac:dyDescent="0.35">
      <c r="Q113" s="50">
        <v>91</v>
      </c>
      <c r="R113" s="50">
        <f t="shared" si="7"/>
        <v>1833.7911334286189</v>
      </c>
      <c r="T113" s="64">
        <f t="shared" si="4"/>
        <v>204353.79774415918</v>
      </c>
    </row>
    <row r="114" spans="17:20" x14ac:dyDescent="0.35">
      <c r="Q114" s="50">
        <v>92</v>
      </c>
      <c r="R114" s="50">
        <f t="shared" si="7"/>
        <v>1833.7911334286189</v>
      </c>
      <c r="T114" s="64">
        <f t="shared" si="4"/>
        <v>207562.17280343839</v>
      </c>
    </row>
    <row r="115" spans="17:20" x14ac:dyDescent="0.35">
      <c r="Q115" s="50">
        <v>93</v>
      </c>
      <c r="R115" s="50">
        <f t="shared" si="7"/>
        <v>1833.7911334286189</v>
      </c>
      <c r="T115" s="64">
        <f t="shared" si="4"/>
        <v>210791.93702977945</v>
      </c>
    </row>
    <row r="116" spans="17:20" x14ac:dyDescent="0.35">
      <c r="Q116" s="50">
        <v>94</v>
      </c>
      <c r="R116" s="50">
        <f t="shared" si="7"/>
        <v>1833.7911334286189</v>
      </c>
      <c r="T116" s="64">
        <f t="shared" si="4"/>
        <v>214043.23301762945</v>
      </c>
    </row>
    <row r="117" spans="17:20" x14ac:dyDescent="0.35">
      <c r="Q117" s="50">
        <v>95</v>
      </c>
      <c r="R117" s="50">
        <f t="shared" si="7"/>
        <v>1833.7911334286189</v>
      </c>
      <c r="T117" s="64">
        <f t="shared" si="4"/>
        <v>217316.20431206512</v>
      </c>
    </row>
    <row r="118" spans="17:20" x14ac:dyDescent="0.35">
      <c r="Q118" s="50">
        <v>96</v>
      </c>
      <c r="R118" s="50">
        <f t="shared" si="7"/>
        <v>1833.7911334286189</v>
      </c>
      <c r="T118" s="64">
        <f t="shared" si="4"/>
        <v>220610.99541513037</v>
      </c>
    </row>
    <row r="119" spans="17:20" x14ac:dyDescent="0.35">
      <c r="Q119" s="50">
        <v>97</v>
      </c>
      <c r="R119" s="50">
        <f t="shared" si="7"/>
        <v>1888.8048674314775</v>
      </c>
      <c r="T119" s="64">
        <f t="shared" si="4"/>
        <v>223983.13228444557</v>
      </c>
    </row>
    <row r="120" spans="17:20" x14ac:dyDescent="0.35">
      <c r="Q120" s="50">
        <v>98</v>
      </c>
      <c r="R120" s="50">
        <f t="shared" si="7"/>
        <v>1888.8048674314775</v>
      </c>
      <c r="T120" s="64">
        <f t="shared" si="4"/>
        <v>227377.75006622286</v>
      </c>
    </row>
    <row r="121" spans="17:20" x14ac:dyDescent="0.35">
      <c r="Q121" s="50">
        <v>99</v>
      </c>
      <c r="R121" s="50">
        <f t="shared" si="7"/>
        <v>1888.8048674314775</v>
      </c>
      <c r="T121" s="64">
        <f t="shared" si="4"/>
        <v>230794.998633212</v>
      </c>
    </row>
    <row r="122" spans="17:20" x14ac:dyDescent="0.35">
      <c r="Q122" s="50">
        <v>100</v>
      </c>
      <c r="R122" s="50">
        <f t="shared" si="7"/>
        <v>1888.8048674314775</v>
      </c>
      <c r="T122" s="64">
        <f t="shared" si="4"/>
        <v>234235.02885731441</v>
      </c>
    </row>
    <row r="123" spans="17:20" x14ac:dyDescent="0.35">
      <c r="Q123" s="50">
        <v>101</v>
      </c>
      <c r="R123" s="50">
        <f t="shared" si="7"/>
        <v>1888.8048674314775</v>
      </c>
      <c r="T123" s="64">
        <f t="shared" si="4"/>
        <v>237697.99261624416</v>
      </c>
    </row>
    <row r="124" spans="17:20" x14ac:dyDescent="0.35">
      <c r="Q124" s="50">
        <v>102</v>
      </c>
      <c r="R124" s="50">
        <f t="shared" si="7"/>
        <v>1888.8048674314775</v>
      </c>
      <c r="T124" s="64">
        <f t="shared" si="4"/>
        <v>241184.04280023344</v>
      </c>
    </row>
    <row r="125" spans="17:20" x14ac:dyDescent="0.35">
      <c r="Q125" s="50">
        <v>103</v>
      </c>
      <c r="R125" s="50">
        <f t="shared" si="7"/>
        <v>1888.8048674314775</v>
      </c>
      <c r="T125" s="64">
        <f t="shared" si="4"/>
        <v>244693.33331878265</v>
      </c>
    </row>
    <row r="126" spans="17:20" x14ac:dyDescent="0.35">
      <c r="Q126" s="50">
        <v>104</v>
      </c>
      <c r="R126" s="50">
        <f t="shared" si="7"/>
        <v>1888.8048674314775</v>
      </c>
      <c r="T126" s="64">
        <f t="shared" si="4"/>
        <v>248226.01910745553</v>
      </c>
    </row>
    <row r="127" spans="17:20" x14ac:dyDescent="0.35">
      <c r="Q127" s="50">
        <v>105</v>
      </c>
      <c r="R127" s="50">
        <f t="shared" si="7"/>
        <v>1888.8048674314775</v>
      </c>
      <c r="T127" s="64">
        <f t="shared" si="4"/>
        <v>251782.25613471956</v>
      </c>
    </row>
    <row r="128" spans="17:20" x14ac:dyDescent="0.35">
      <c r="Q128" s="50">
        <v>106</v>
      </c>
      <c r="R128" s="50">
        <f t="shared" si="7"/>
        <v>1888.8048674314775</v>
      </c>
      <c r="T128" s="64">
        <f t="shared" si="4"/>
        <v>255362.20140883201</v>
      </c>
    </row>
    <row r="129" spans="17:20" x14ac:dyDescent="0.35">
      <c r="Q129" s="50">
        <v>107</v>
      </c>
      <c r="R129" s="50">
        <f t="shared" si="7"/>
        <v>1888.8048674314775</v>
      </c>
      <c r="T129" s="64">
        <f t="shared" si="4"/>
        <v>258966.01298477189</v>
      </c>
    </row>
    <row r="130" spans="17:20" x14ac:dyDescent="0.35">
      <c r="Q130" s="50">
        <v>108</v>
      </c>
      <c r="R130" s="50">
        <f t="shared" si="7"/>
        <v>1888.8048674314775</v>
      </c>
      <c r="T130" s="64">
        <f t="shared" si="4"/>
        <v>262593.84997121803</v>
      </c>
    </row>
    <row r="131" spans="17:20" x14ac:dyDescent="0.35">
      <c r="Q131" s="50">
        <v>109</v>
      </c>
      <c r="R131" s="50">
        <f t="shared" si="7"/>
        <v>1945.4690134544219</v>
      </c>
      <c r="T131" s="64">
        <f t="shared" si="4"/>
        <v>266302.91444457026</v>
      </c>
    </row>
    <row r="132" spans="17:20" x14ac:dyDescent="0.35">
      <c r="Q132" s="50">
        <v>110</v>
      </c>
      <c r="R132" s="50">
        <f t="shared" si="7"/>
        <v>1945.4690134544219</v>
      </c>
      <c r="T132" s="64">
        <f t="shared" si="4"/>
        <v>270036.70601441152</v>
      </c>
    </row>
    <row r="133" spans="17:20" x14ac:dyDescent="0.35">
      <c r="Q133" s="50">
        <v>111</v>
      </c>
      <c r="R133" s="50">
        <f t="shared" si="7"/>
        <v>1945.4690134544219</v>
      </c>
      <c r="T133" s="64">
        <f t="shared" si="4"/>
        <v>273795.38952805172</v>
      </c>
    </row>
    <row r="134" spans="17:20" x14ac:dyDescent="0.35">
      <c r="Q134" s="50">
        <v>112</v>
      </c>
      <c r="R134" s="50">
        <f t="shared" si="7"/>
        <v>1945.4690134544219</v>
      </c>
      <c r="T134" s="64">
        <f t="shared" si="4"/>
        <v>277579.13093178289</v>
      </c>
    </row>
    <row r="135" spans="17:20" x14ac:dyDescent="0.35">
      <c r="Q135" s="50">
        <v>113</v>
      </c>
      <c r="R135" s="50">
        <f t="shared" si="7"/>
        <v>1945.4690134544219</v>
      </c>
      <c r="T135" s="64">
        <f t="shared" si="4"/>
        <v>281388.09727820556</v>
      </c>
    </row>
    <row r="136" spans="17:20" x14ac:dyDescent="0.35">
      <c r="Q136" s="50">
        <v>114</v>
      </c>
      <c r="R136" s="50">
        <f t="shared" si="7"/>
        <v>1945.4690134544219</v>
      </c>
      <c r="T136" s="64">
        <f t="shared" si="4"/>
        <v>285222.45673360437</v>
      </c>
    </row>
    <row r="137" spans="17:20" x14ac:dyDescent="0.35">
      <c r="Q137" s="50">
        <v>115</v>
      </c>
      <c r="R137" s="50">
        <f t="shared" si="7"/>
        <v>1945.4690134544219</v>
      </c>
      <c r="T137" s="64">
        <f t="shared" si="4"/>
        <v>289082.37858537253</v>
      </c>
    </row>
    <row r="138" spans="17:20" x14ac:dyDescent="0.35">
      <c r="Q138" s="50">
        <v>116</v>
      </c>
      <c r="R138" s="50">
        <f t="shared" si="7"/>
        <v>1945.4690134544219</v>
      </c>
      <c r="T138" s="64">
        <f t="shared" si="4"/>
        <v>292968.03324948583</v>
      </c>
    </row>
    <row r="139" spans="17:20" x14ac:dyDescent="0.35">
      <c r="Q139" s="50">
        <v>117</v>
      </c>
      <c r="R139" s="50">
        <f t="shared" si="7"/>
        <v>1945.4690134544219</v>
      </c>
      <c r="T139" s="64">
        <f t="shared" si="4"/>
        <v>296879.59227802651</v>
      </c>
    </row>
    <row r="140" spans="17:20" x14ac:dyDescent="0.35">
      <c r="Q140" s="50">
        <v>118</v>
      </c>
      <c r="R140" s="50">
        <f t="shared" si="7"/>
        <v>1945.4690134544219</v>
      </c>
      <c r="T140" s="64">
        <f t="shared" si="4"/>
        <v>300817.22836675745</v>
      </c>
    </row>
    <row r="141" spans="17:20" x14ac:dyDescent="0.35">
      <c r="Q141" s="50">
        <v>119</v>
      </c>
      <c r="R141" s="50">
        <f t="shared" si="7"/>
        <v>1945.4690134544219</v>
      </c>
      <c r="T141" s="64">
        <f t="shared" si="4"/>
        <v>304781.11536274664</v>
      </c>
    </row>
    <row r="142" spans="17:20" x14ac:dyDescent="0.35">
      <c r="Q142" s="50">
        <v>120</v>
      </c>
      <c r="R142" s="50">
        <f t="shared" si="7"/>
        <v>1945.4690134544219</v>
      </c>
      <c r="T142" s="64">
        <f t="shared" si="4"/>
        <v>308771.42827204242</v>
      </c>
    </row>
    <row r="143" spans="17:20" x14ac:dyDescent="0.35">
      <c r="Q143" s="50">
        <v>121</v>
      </c>
      <c r="R143" s="50">
        <f t="shared" si="7"/>
        <v>2003.8330838580546</v>
      </c>
      <c r="T143" s="64">
        <f t="shared" si="4"/>
        <v>312847.09643160651</v>
      </c>
    </row>
    <row r="144" spans="17:20" x14ac:dyDescent="0.35">
      <c r="Q144" s="50">
        <v>122</v>
      </c>
      <c r="R144" s="50">
        <f t="shared" si="7"/>
        <v>2003.8330838580546</v>
      </c>
      <c r="T144" s="64">
        <f t="shared" si="4"/>
        <v>316949.93571223435</v>
      </c>
    </row>
    <row r="145" spans="17:20" x14ac:dyDescent="0.35">
      <c r="Q145" s="50">
        <v>123</v>
      </c>
      <c r="R145" s="50">
        <f t="shared" si="7"/>
        <v>2003.8330838580546</v>
      </c>
      <c r="T145" s="64">
        <f t="shared" si="4"/>
        <v>321080.127254733</v>
      </c>
    </row>
    <row r="146" spans="17:20" x14ac:dyDescent="0.35">
      <c r="Q146" s="50">
        <v>124</v>
      </c>
      <c r="R146" s="50">
        <f t="shared" si="7"/>
        <v>2003.8330838580546</v>
      </c>
      <c r="T146" s="64">
        <f t="shared" si="4"/>
        <v>325237.85340751498</v>
      </c>
    </row>
    <row r="147" spans="17:20" x14ac:dyDescent="0.35">
      <c r="Q147" s="50">
        <v>125</v>
      </c>
      <c r="R147" s="50">
        <f t="shared" si="7"/>
        <v>2003.8330838580546</v>
      </c>
      <c r="T147" s="64">
        <f t="shared" si="4"/>
        <v>329423.29773464886</v>
      </c>
    </row>
    <row r="148" spans="17:20" x14ac:dyDescent="0.35">
      <c r="Q148" s="50">
        <v>126</v>
      </c>
      <c r="R148" s="50">
        <f t="shared" si="7"/>
        <v>2003.8330838580546</v>
      </c>
      <c r="T148" s="64">
        <f t="shared" si="4"/>
        <v>333636.64502396365</v>
      </c>
    </row>
    <row r="149" spans="17:20" x14ac:dyDescent="0.35">
      <c r="Q149" s="50">
        <v>127</v>
      </c>
      <c r="R149" s="50">
        <f t="shared" si="7"/>
        <v>2003.8330838580546</v>
      </c>
      <c r="T149" s="64">
        <f t="shared" si="4"/>
        <v>337878.0812952072</v>
      </c>
    </row>
    <row r="150" spans="17:20" x14ac:dyDescent="0.35">
      <c r="Q150" s="50">
        <v>128</v>
      </c>
      <c r="R150" s="50">
        <f t="shared" si="7"/>
        <v>2003.8330838580546</v>
      </c>
      <c r="T150" s="64">
        <f t="shared" si="4"/>
        <v>342147.79380825901</v>
      </c>
    </row>
    <row r="151" spans="17:20" x14ac:dyDescent="0.35">
      <c r="Q151" s="50">
        <v>129</v>
      </c>
      <c r="R151" s="50">
        <f t="shared" si="7"/>
        <v>2003.8330838580546</v>
      </c>
      <c r="T151" s="64">
        <f t="shared" si="4"/>
        <v>346445.97107139783</v>
      </c>
    </row>
    <row r="152" spans="17:20" x14ac:dyDescent="0.35">
      <c r="Q152" s="50">
        <v>130</v>
      </c>
      <c r="R152" s="50">
        <f t="shared" si="7"/>
        <v>2003.8330838580546</v>
      </c>
      <c r="T152" s="64">
        <f t="shared" si="4"/>
        <v>350772.80284962425</v>
      </c>
    </row>
    <row r="153" spans="17:20" x14ac:dyDescent="0.35">
      <c r="Q153" s="50">
        <v>131</v>
      </c>
      <c r="R153" s="50">
        <f t="shared" si="7"/>
        <v>2003.8330838580546</v>
      </c>
      <c r="T153" s="64">
        <f t="shared" ref="T153:T216" si="8">(T152+R153)*(1+$T$18)</f>
        <v>355128.48017303884</v>
      </c>
    </row>
    <row r="154" spans="17:20" x14ac:dyDescent="0.35">
      <c r="Q154" s="50">
        <v>132</v>
      </c>
      <c r="R154" s="50">
        <f t="shared" si="7"/>
        <v>2003.8330838580546</v>
      </c>
      <c r="T154" s="64">
        <f t="shared" si="8"/>
        <v>359513.19534527621</v>
      </c>
    </row>
    <row r="155" spans="17:20" x14ac:dyDescent="0.35">
      <c r="Q155" s="50">
        <v>133</v>
      </c>
      <c r="R155" s="50">
        <f t="shared" si="7"/>
        <v>2063.9480763737961</v>
      </c>
      <c r="T155" s="64">
        <f t="shared" si="8"/>
        <v>363987.65771112766</v>
      </c>
    </row>
    <row r="156" spans="17:20" x14ac:dyDescent="0.35">
      <c r="Q156" s="50">
        <v>134</v>
      </c>
      <c r="R156" s="50">
        <f t="shared" si="7"/>
        <v>2063.9480763737961</v>
      </c>
      <c r="T156" s="64">
        <f t="shared" si="8"/>
        <v>368491.94982608478</v>
      </c>
    </row>
    <row r="157" spans="17:20" x14ac:dyDescent="0.35">
      <c r="Q157" s="50">
        <v>135</v>
      </c>
      <c r="R157" s="50">
        <f t="shared" si="7"/>
        <v>2063.9480763737961</v>
      </c>
      <c r="T157" s="64">
        <f t="shared" si="8"/>
        <v>373026.27055514161</v>
      </c>
    </row>
    <row r="158" spans="17:20" x14ac:dyDescent="0.35">
      <c r="Q158" s="50">
        <v>136</v>
      </c>
      <c r="R158" s="50">
        <f t="shared" si="7"/>
        <v>2063.9480763737961</v>
      </c>
      <c r="T158" s="64">
        <f t="shared" si="8"/>
        <v>377590.82008905883</v>
      </c>
    </row>
    <row r="159" spans="17:20" x14ac:dyDescent="0.35">
      <c r="Q159" s="50">
        <v>137</v>
      </c>
      <c r="R159" s="50">
        <f t="shared" si="7"/>
        <v>2063.9480763737961</v>
      </c>
      <c r="T159" s="64">
        <f t="shared" si="8"/>
        <v>382185.79995320213</v>
      </c>
    </row>
    <row r="160" spans="17:20" x14ac:dyDescent="0.35">
      <c r="Q160" s="50">
        <v>138</v>
      </c>
      <c r="R160" s="50">
        <f t="shared" si="7"/>
        <v>2063.9480763737961</v>
      </c>
      <c r="T160" s="64">
        <f t="shared" si="8"/>
        <v>386811.41301643971</v>
      </c>
    </row>
    <row r="161" spans="17:20" x14ac:dyDescent="0.35">
      <c r="Q161" s="50">
        <v>139</v>
      </c>
      <c r="R161" s="50">
        <f t="shared" si="7"/>
        <v>2063.9480763737961</v>
      </c>
      <c r="T161" s="64">
        <f t="shared" si="8"/>
        <v>391467.86350009887</v>
      </c>
    </row>
    <row r="162" spans="17:20" x14ac:dyDescent="0.35">
      <c r="Q162" s="50">
        <v>140</v>
      </c>
      <c r="R162" s="50">
        <f t="shared" si="7"/>
        <v>2063.9480763737961</v>
      </c>
      <c r="T162" s="64">
        <f t="shared" si="8"/>
        <v>396155.35698698246</v>
      </c>
    </row>
    <row r="163" spans="17:20" x14ac:dyDescent="0.35">
      <c r="Q163" s="50">
        <v>141</v>
      </c>
      <c r="R163" s="50">
        <f t="shared" si="7"/>
        <v>2063.9480763737961</v>
      </c>
      <c r="T163" s="64">
        <f t="shared" si="8"/>
        <v>400874.10043044528</v>
      </c>
    </row>
    <row r="164" spans="17:20" x14ac:dyDescent="0.35">
      <c r="Q164" s="50">
        <v>142</v>
      </c>
      <c r="R164" s="50">
        <f t="shared" ref="R164:R227" si="9">R152*(1+$R$18)</f>
        <v>2063.9480763737961</v>
      </c>
      <c r="T164" s="64">
        <f t="shared" si="8"/>
        <v>405624.30216353119</v>
      </c>
    </row>
    <row r="165" spans="17:20" x14ac:dyDescent="0.35">
      <c r="Q165" s="50">
        <v>143</v>
      </c>
      <c r="R165" s="50">
        <f t="shared" si="9"/>
        <v>2063.9480763737961</v>
      </c>
      <c r="T165" s="64">
        <f t="shared" si="8"/>
        <v>410406.17190817097</v>
      </c>
    </row>
    <row r="166" spans="17:20" x14ac:dyDescent="0.35">
      <c r="Q166" s="50">
        <v>144</v>
      </c>
      <c r="R166" s="50">
        <f t="shared" si="9"/>
        <v>2063.9480763737961</v>
      </c>
      <c r="T166" s="64">
        <f t="shared" si="8"/>
        <v>415219.9207844417</v>
      </c>
    </row>
    <row r="167" spans="17:20" x14ac:dyDescent="0.35">
      <c r="Q167" s="50">
        <v>145</v>
      </c>
      <c r="R167" s="50">
        <f t="shared" si="9"/>
        <v>2125.8665186650101</v>
      </c>
      <c r="T167" s="64">
        <f t="shared" si="8"/>
        <v>420128.09255179402</v>
      </c>
    </row>
    <row r="168" spans="17:20" x14ac:dyDescent="0.35">
      <c r="Q168" s="50">
        <v>146</v>
      </c>
      <c r="R168" s="50">
        <f t="shared" si="9"/>
        <v>2125.8665186650101</v>
      </c>
      <c r="T168" s="64">
        <f t="shared" si="8"/>
        <v>425068.98546426202</v>
      </c>
    </row>
    <row r="169" spans="17:20" x14ac:dyDescent="0.35">
      <c r="Q169" s="50">
        <v>147</v>
      </c>
      <c r="R169" s="50">
        <f t="shared" si="9"/>
        <v>2125.8665186650101</v>
      </c>
      <c r="T169" s="64">
        <f t="shared" si="8"/>
        <v>430042.81766281318</v>
      </c>
    </row>
    <row r="170" spans="17:20" x14ac:dyDescent="0.35">
      <c r="Q170" s="50">
        <v>148</v>
      </c>
      <c r="R170" s="50">
        <f t="shared" si="9"/>
        <v>2125.8665186650101</v>
      </c>
      <c r="T170" s="64">
        <f t="shared" si="8"/>
        <v>435049.80874268798</v>
      </c>
    </row>
    <row r="171" spans="17:20" x14ac:dyDescent="0.35">
      <c r="Q171" s="50">
        <v>149</v>
      </c>
      <c r="R171" s="50">
        <f t="shared" si="9"/>
        <v>2125.8665186650101</v>
      </c>
      <c r="T171" s="64">
        <f t="shared" si="8"/>
        <v>440090.17976309528</v>
      </c>
    </row>
    <row r="172" spans="17:20" x14ac:dyDescent="0.35">
      <c r="Q172" s="50">
        <v>150</v>
      </c>
      <c r="R172" s="50">
        <f t="shared" si="9"/>
        <v>2125.8665186650101</v>
      </c>
      <c r="T172" s="64">
        <f t="shared" si="8"/>
        <v>445164.15325697197</v>
      </c>
    </row>
    <row r="173" spans="17:20" x14ac:dyDescent="0.35">
      <c r="Q173" s="50">
        <v>151</v>
      </c>
      <c r="R173" s="50">
        <f t="shared" si="9"/>
        <v>2125.8665186650101</v>
      </c>
      <c r="T173" s="64">
        <f t="shared" si="8"/>
        <v>450271.95324080787</v>
      </c>
    </row>
    <row r="174" spans="17:20" x14ac:dyDescent="0.35">
      <c r="Q174" s="50">
        <v>152</v>
      </c>
      <c r="R174" s="50">
        <f t="shared" si="9"/>
        <v>2125.8665186650101</v>
      </c>
      <c r="T174" s="64">
        <f t="shared" si="8"/>
        <v>455413.80522453599</v>
      </c>
    </row>
    <row r="175" spans="17:20" x14ac:dyDescent="0.35">
      <c r="Q175" s="50">
        <v>153</v>
      </c>
      <c r="R175" s="50">
        <f t="shared" si="9"/>
        <v>2125.8665186650101</v>
      </c>
      <c r="T175" s="64">
        <f t="shared" si="8"/>
        <v>460589.93622148893</v>
      </c>
    </row>
    <row r="176" spans="17:20" x14ac:dyDescent="0.35">
      <c r="Q176" s="50">
        <v>154</v>
      </c>
      <c r="R176" s="50">
        <f t="shared" si="9"/>
        <v>2125.8665186650101</v>
      </c>
      <c r="T176" s="64">
        <f t="shared" si="8"/>
        <v>465800.57475842157</v>
      </c>
    </row>
    <row r="177" spans="17:20" x14ac:dyDescent="0.35">
      <c r="Q177" s="50">
        <v>155</v>
      </c>
      <c r="R177" s="50">
        <f t="shared" si="9"/>
        <v>2125.8665186650101</v>
      </c>
      <c r="T177" s="64">
        <f t="shared" si="8"/>
        <v>471045.95088560041</v>
      </c>
    </row>
    <row r="178" spans="17:20" x14ac:dyDescent="0.35">
      <c r="Q178" s="50">
        <v>156</v>
      </c>
      <c r="R178" s="50">
        <f t="shared" si="9"/>
        <v>2125.8665186650101</v>
      </c>
      <c r="T178" s="64">
        <f t="shared" si="8"/>
        <v>476326.29618696048</v>
      </c>
    </row>
    <row r="179" spans="17:20" x14ac:dyDescent="0.35">
      <c r="Q179" s="50">
        <v>157</v>
      </c>
      <c r="R179" s="50">
        <f t="shared" si="9"/>
        <v>2189.6425142249605</v>
      </c>
      <c r="T179" s="64">
        <f t="shared" si="8"/>
        <v>481706.04495919333</v>
      </c>
    </row>
    <row r="180" spans="17:20" x14ac:dyDescent="0.35">
      <c r="Q180" s="50">
        <v>158</v>
      </c>
      <c r="R180" s="50">
        <f t="shared" si="9"/>
        <v>2189.6425142249605</v>
      </c>
      <c r="T180" s="64">
        <f t="shared" si="8"/>
        <v>487121.65872324107</v>
      </c>
    </row>
    <row r="181" spans="17:20" x14ac:dyDescent="0.35">
      <c r="Q181" s="50">
        <v>159</v>
      </c>
      <c r="R181" s="50">
        <f t="shared" si="9"/>
        <v>2189.6425142249605</v>
      </c>
      <c r="T181" s="64">
        <f t="shared" si="8"/>
        <v>492573.3765790491</v>
      </c>
    </row>
    <row r="182" spans="17:20" x14ac:dyDescent="0.35">
      <c r="Q182" s="50">
        <v>160</v>
      </c>
      <c r="R182" s="50">
        <f t="shared" si="9"/>
        <v>2189.6425142249605</v>
      </c>
      <c r="T182" s="64">
        <f t="shared" si="8"/>
        <v>498061.43922056252</v>
      </c>
    </row>
    <row r="183" spans="17:20" x14ac:dyDescent="0.35">
      <c r="Q183" s="50">
        <v>161</v>
      </c>
      <c r="R183" s="50">
        <f t="shared" si="9"/>
        <v>2189.6425142249605</v>
      </c>
      <c r="T183" s="64">
        <f t="shared" si="8"/>
        <v>503586.08894635271</v>
      </c>
    </row>
    <row r="184" spans="17:20" x14ac:dyDescent="0.35">
      <c r="Q184" s="50">
        <v>162</v>
      </c>
      <c r="R184" s="50">
        <f t="shared" si="9"/>
        <v>2189.6425142249605</v>
      </c>
      <c r="T184" s="64">
        <f t="shared" si="8"/>
        <v>509147.56967031484</v>
      </c>
    </row>
    <row r="185" spans="17:20" x14ac:dyDescent="0.35">
      <c r="Q185" s="50">
        <v>163</v>
      </c>
      <c r="R185" s="50">
        <f t="shared" si="9"/>
        <v>2189.6425142249605</v>
      </c>
      <c r="T185" s="64">
        <f t="shared" si="8"/>
        <v>514746.12693243672</v>
      </c>
    </row>
    <row r="186" spans="17:20" x14ac:dyDescent="0.35">
      <c r="Q186" s="50">
        <v>164</v>
      </c>
      <c r="R186" s="50">
        <f t="shared" si="9"/>
        <v>2189.6425142249605</v>
      </c>
      <c r="T186" s="64">
        <f t="shared" si="8"/>
        <v>520382.00790963939</v>
      </c>
    </row>
    <row r="187" spans="17:20" x14ac:dyDescent="0.35">
      <c r="Q187" s="50">
        <v>165</v>
      </c>
      <c r="R187" s="50">
        <f t="shared" si="9"/>
        <v>2189.6425142249605</v>
      </c>
      <c r="T187" s="64">
        <f t="shared" si="8"/>
        <v>526055.4614266901</v>
      </c>
    </row>
    <row r="188" spans="17:20" x14ac:dyDescent="0.35">
      <c r="Q188" s="50">
        <v>166</v>
      </c>
      <c r="R188" s="50">
        <f t="shared" si="9"/>
        <v>2189.6425142249605</v>
      </c>
      <c r="T188" s="64">
        <f t="shared" si="8"/>
        <v>531766.73796718777</v>
      </c>
    </row>
    <row r="189" spans="17:20" x14ac:dyDescent="0.35">
      <c r="Q189" s="50">
        <v>167</v>
      </c>
      <c r="R189" s="50">
        <f t="shared" si="9"/>
        <v>2189.6425142249605</v>
      </c>
      <c r="T189" s="64">
        <f t="shared" si="8"/>
        <v>537516.08968462213</v>
      </c>
    </row>
    <row r="190" spans="17:20" x14ac:dyDescent="0.35">
      <c r="Q190" s="50">
        <v>168</v>
      </c>
      <c r="R190" s="50">
        <f t="shared" si="9"/>
        <v>2189.6425142249605</v>
      </c>
      <c r="T190" s="64">
        <f t="shared" si="8"/>
        <v>543303.77041350608</v>
      </c>
    </row>
    <row r="191" spans="17:20" x14ac:dyDescent="0.35">
      <c r="Q191" s="50">
        <v>169</v>
      </c>
      <c r="R191" s="50">
        <f t="shared" si="9"/>
        <v>2255.3317896517092</v>
      </c>
      <c r="T191" s="64">
        <f t="shared" si="8"/>
        <v>549196.1628845121</v>
      </c>
    </row>
    <row r="192" spans="17:20" x14ac:dyDescent="0.35">
      <c r="Q192" s="50">
        <v>170</v>
      </c>
      <c r="R192" s="50">
        <f t="shared" si="9"/>
        <v>2255.3317896517092</v>
      </c>
      <c r="T192" s="64">
        <f t="shared" si="8"/>
        <v>555127.83797199151</v>
      </c>
    </row>
    <row r="193" spans="17:20" x14ac:dyDescent="0.35">
      <c r="Q193" s="50">
        <v>171</v>
      </c>
      <c r="R193" s="50">
        <f t="shared" si="9"/>
        <v>2255.3317896517092</v>
      </c>
      <c r="T193" s="64">
        <f t="shared" si="8"/>
        <v>561099.05756005412</v>
      </c>
    </row>
    <row r="194" spans="17:20" x14ac:dyDescent="0.35">
      <c r="Q194" s="50">
        <v>172</v>
      </c>
      <c r="R194" s="50">
        <f t="shared" si="9"/>
        <v>2255.3317896517092</v>
      </c>
      <c r="T194" s="64">
        <f t="shared" si="8"/>
        <v>567110.08527870371</v>
      </c>
    </row>
    <row r="195" spans="17:20" x14ac:dyDescent="0.35">
      <c r="Q195" s="50">
        <v>173</v>
      </c>
      <c r="R195" s="50">
        <f t="shared" si="9"/>
        <v>2255.3317896517092</v>
      </c>
      <c r="T195" s="64">
        <f t="shared" si="8"/>
        <v>573161.18651547772</v>
      </c>
    </row>
    <row r="196" spans="17:20" x14ac:dyDescent="0.35">
      <c r="Q196" s="50">
        <v>174</v>
      </c>
      <c r="R196" s="50">
        <f t="shared" si="9"/>
        <v>2255.3317896517092</v>
      </c>
      <c r="T196" s="64">
        <f t="shared" si="8"/>
        <v>579252.62842716358</v>
      </c>
    </row>
    <row r="197" spans="17:20" x14ac:dyDescent="0.35">
      <c r="Q197" s="50">
        <v>175</v>
      </c>
      <c r="R197" s="50">
        <f t="shared" si="9"/>
        <v>2255.3317896517092</v>
      </c>
      <c r="T197" s="64">
        <f t="shared" si="8"/>
        <v>585384.67995159398</v>
      </c>
    </row>
    <row r="198" spans="17:20" x14ac:dyDescent="0.35">
      <c r="Q198" s="50">
        <v>176</v>
      </c>
      <c r="R198" s="50">
        <f t="shared" si="9"/>
        <v>2255.3317896517092</v>
      </c>
      <c r="T198" s="64">
        <f t="shared" si="8"/>
        <v>591557.61181952059</v>
      </c>
    </row>
    <row r="199" spans="17:20" x14ac:dyDescent="0.35">
      <c r="Q199" s="50">
        <v>177</v>
      </c>
      <c r="R199" s="50">
        <f t="shared" si="9"/>
        <v>2255.3317896517092</v>
      </c>
      <c r="T199" s="64">
        <f t="shared" si="8"/>
        <v>597771.69656656671</v>
      </c>
    </row>
    <row r="200" spans="17:20" x14ac:dyDescent="0.35">
      <c r="Q200" s="50">
        <v>178</v>
      </c>
      <c r="R200" s="50">
        <f t="shared" si="9"/>
        <v>2255.3317896517092</v>
      </c>
      <c r="T200" s="64">
        <f t="shared" si="8"/>
        <v>604027.20854525978</v>
      </c>
    </row>
    <row r="201" spans="17:20" x14ac:dyDescent="0.35">
      <c r="Q201" s="50">
        <v>179</v>
      </c>
      <c r="R201" s="50">
        <f t="shared" si="9"/>
        <v>2255.3317896517092</v>
      </c>
      <c r="T201" s="64">
        <f t="shared" si="8"/>
        <v>610324.42393714411</v>
      </c>
    </row>
    <row r="202" spans="17:20" x14ac:dyDescent="0.35">
      <c r="Q202" s="50">
        <v>180</v>
      </c>
      <c r="R202" s="50">
        <f t="shared" si="9"/>
        <v>2255.3317896517092</v>
      </c>
      <c r="T202" s="64">
        <f t="shared" si="8"/>
        <v>616663.62076497439</v>
      </c>
    </row>
    <row r="203" spans="17:20" x14ac:dyDescent="0.35">
      <c r="Q203" s="50">
        <v>181</v>
      </c>
      <c r="R203" s="50">
        <f t="shared" si="9"/>
        <v>2322.9917433412606</v>
      </c>
      <c r="T203" s="64">
        <f t="shared" si="8"/>
        <v>623113.18992503767</v>
      </c>
    </row>
    <row r="204" spans="17:20" x14ac:dyDescent="0.35">
      <c r="Q204" s="50">
        <v>182</v>
      </c>
      <c r="R204" s="50">
        <f t="shared" si="9"/>
        <v>2322.9917433412606</v>
      </c>
      <c r="T204" s="64">
        <f t="shared" si="8"/>
        <v>629605.75621283473</v>
      </c>
    </row>
    <row r="205" spans="17:20" x14ac:dyDescent="0.35">
      <c r="Q205" s="50">
        <v>183</v>
      </c>
      <c r="R205" s="50">
        <f t="shared" si="9"/>
        <v>2322.9917433412606</v>
      </c>
      <c r="T205" s="64">
        <f t="shared" si="8"/>
        <v>636141.60627588374</v>
      </c>
    </row>
    <row r="206" spans="17:20" x14ac:dyDescent="0.35">
      <c r="Q206" s="50">
        <v>184</v>
      </c>
      <c r="R206" s="50">
        <f t="shared" si="9"/>
        <v>2322.9917433412606</v>
      </c>
      <c r="T206" s="64">
        <f t="shared" si="8"/>
        <v>642721.02867268643</v>
      </c>
    </row>
    <row r="207" spans="17:20" x14ac:dyDescent="0.35">
      <c r="Q207" s="50">
        <v>185</v>
      </c>
      <c r="R207" s="50">
        <f t="shared" si="9"/>
        <v>2322.9917433412606</v>
      </c>
      <c r="T207" s="64">
        <f t="shared" si="8"/>
        <v>649344.31388546783</v>
      </c>
    </row>
    <row r="208" spans="17:20" x14ac:dyDescent="0.35">
      <c r="Q208" s="50">
        <v>186</v>
      </c>
      <c r="R208" s="50">
        <f t="shared" si="9"/>
        <v>2322.9917433412606</v>
      </c>
      <c r="T208" s="64">
        <f t="shared" si="8"/>
        <v>656011.7543330011</v>
      </c>
    </row>
    <row r="209" spans="17:20" x14ac:dyDescent="0.35">
      <c r="Q209" s="50">
        <v>187</v>
      </c>
      <c r="R209" s="50">
        <f t="shared" si="9"/>
        <v>2322.9917433412606</v>
      </c>
      <c r="T209" s="64">
        <f t="shared" si="8"/>
        <v>662723.64438351791</v>
      </c>
    </row>
    <row r="210" spans="17:20" x14ac:dyDescent="0.35">
      <c r="Q210" s="50">
        <v>188</v>
      </c>
      <c r="R210" s="50">
        <f t="shared" si="9"/>
        <v>2322.9917433412606</v>
      </c>
      <c r="T210" s="64">
        <f t="shared" si="8"/>
        <v>669480.28036770481</v>
      </c>
    </row>
    <row r="211" spans="17:20" x14ac:dyDescent="0.35">
      <c r="Q211" s="50">
        <v>189</v>
      </c>
      <c r="R211" s="50">
        <f t="shared" si="9"/>
        <v>2322.9917433412606</v>
      </c>
      <c r="T211" s="64">
        <f t="shared" si="8"/>
        <v>676281.96059178631</v>
      </c>
    </row>
    <row r="212" spans="17:20" x14ac:dyDescent="0.35">
      <c r="Q212" s="50">
        <v>190</v>
      </c>
      <c r="R212" s="50">
        <f t="shared" si="9"/>
        <v>2322.9917433412606</v>
      </c>
      <c r="T212" s="64">
        <f t="shared" si="8"/>
        <v>683128.98535069497</v>
      </c>
    </row>
    <row r="213" spans="17:20" x14ac:dyDescent="0.35">
      <c r="Q213" s="50">
        <v>191</v>
      </c>
      <c r="R213" s="50">
        <f t="shared" si="9"/>
        <v>2322.9917433412606</v>
      </c>
      <c r="T213" s="64">
        <f t="shared" si="8"/>
        <v>690021.65694132971</v>
      </c>
    </row>
    <row r="214" spans="17:20" x14ac:dyDescent="0.35">
      <c r="Q214" s="50">
        <v>192</v>
      </c>
      <c r="R214" s="50">
        <f t="shared" si="9"/>
        <v>2322.9917433412606</v>
      </c>
      <c r="T214" s="64">
        <f t="shared" si="8"/>
        <v>696960.27967590198</v>
      </c>
    </row>
    <row r="215" spans="17:20" x14ac:dyDescent="0.35">
      <c r="Q215" s="50">
        <v>193</v>
      </c>
      <c r="R215" s="50">
        <f t="shared" si="9"/>
        <v>2392.6814956414987</v>
      </c>
      <c r="T215" s="64">
        <f t="shared" si="8"/>
        <v>704015.3142460204</v>
      </c>
    </row>
    <row r="216" spans="17:20" x14ac:dyDescent="0.35">
      <c r="Q216" s="50">
        <v>194</v>
      </c>
      <c r="R216" s="50">
        <f t="shared" si="9"/>
        <v>2392.6814956414987</v>
      </c>
      <c r="T216" s="64">
        <f t="shared" si="8"/>
        <v>711117.38237993955</v>
      </c>
    </row>
    <row r="217" spans="17:20" x14ac:dyDescent="0.35">
      <c r="Q217" s="50">
        <v>195</v>
      </c>
      <c r="R217" s="50">
        <f t="shared" si="9"/>
        <v>2392.6814956414987</v>
      </c>
      <c r="T217" s="64">
        <f t="shared" ref="T217:T280" si="10">(T216+R217)*(1+$T$18)</f>
        <v>718266.79763475154</v>
      </c>
    </row>
    <row r="218" spans="17:20" x14ac:dyDescent="0.35">
      <c r="Q218" s="50">
        <v>196</v>
      </c>
      <c r="R218" s="50">
        <f t="shared" si="9"/>
        <v>2392.6814956414987</v>
      </c>
      <c r="T218" s="64">
        <f t="shared" si="10"/>
        <v>725463.87565792887</v>
      </c>
    </row>
    <row r="219" spans="17:20" x14ac:dyDescent="0.35">
      <c r="Q219" s="50">
        <v>197</v>
      </c>
      <c r="R219" s="50">
        <f t="shared" si="9"/>
        <v>2392.6814956414987</v>
      </c>
      <c r="T219" s="64">
        <f t="shared" si="10"/>
        <v>732708.9342012608</v>
      </c>
    </row>
    <row r="220" spans="17:20" x14ac:dyDescent="0.35">
      <c r="Q220" s="50">
        <v>198</v>
      </c>
      <c r="R220" s="50">
        <f t="shared" si="9"/>
        <v>2392.6814956414987</v>
      </c>
      <c r="T220" s="64">
        <f t="shared" si="10"/>
        <v>740002.29313488153</v>
      </c>
    </row>
    <row r="221" spans="17:20" x14ac:dyDescent="0.35">
      <c r="Q221" s="50">
        <v>199</v>
      </c>
      <c r="R221" s="50">
        <f t="shared" si="9"/>
        <v>2392.6814956414987</v>
      </c>
      <c r="T221" s="64">
        <f t="shared" si="10"/>
        <v>747344.27446139313</v>
      </c>
    </row>
    <row r="222" spans="17:20" x14ac:dyDescent="0.35">
      <c r="Q222" s="50">
        <v>200</v>
      </c>
      <c r="R222" s="50">
        <f t="shared" si="9"/>
        <v>2392.6814956414987</v>
      </c>
      <c r="T222" s="64">
        <f t="shared" si="10"/>
        <v>754735.20233008149</v>
      </c>
    </row>
    <row r="223" spans="17:20" x14ac:dyDescent="0.35">
      <c r="Q223" s="50">
        <v>201</v>
      </c>
      <c r="R223" s="50">
        <f t="shared" si="9"/>
        <v>2392.6814956414987</v>
      </c>
      <c r="T223" s="64">
        <f t="shared" si="10"/>
        <v>762175.40305122768</v>
      </c>
    </row>
    <row r="224" spans="17:20" x14ac:dyDescent="0.35">
      <c r="Q224" s="50">
        <v>202</v>
      </c>
      <c r="R224" s="50">
        <f t="shared" si="9"/>
        <v>2392.6814956414987</v>
      </c>
      <c r="T224" s="64">
        <f t="shared" si="10"/>
        <v>769665.20511051489</v>
      </c>
    </row>
    <row r="225" spans="17:20" x14ac:dyDescent="0.35">
      <c r="Q225" s="50">
        <v>203</v>
      </c>
      <c r="R225" s="50">
        <f t="shared" si="9"/>
        <v>2392.6814956414987</v>
      </c>
      <c r="T225" s="64">
        <f t="shared" si="10"/>
        <v>777204.93918353063</v>
      </c>
    </row>
    <row r="226" spans="17:20" x14ac:dyDescent="0.35">
      <c r="Q226" s="50">
        <v>204</v>
      </c>
      <c r="R226" s="50">
        <f t="shared" si="9"/>
        <v>2392.6814956414987</v>
      </c>
      <c r="T226" s="64">
        <f t="shared" si="10"/>
        <v>784794.93815036654</v>
      </c>
    </row>
    <row r="227" spans="17:20" x14ac:dyDescent="0.35">
      <c r="Q227" s="50">
        <v>205</v>
      </c>
      <c r="R227" s="50">
        <f t="shared" si="9"/>
        <v>2464.4619405107437</v>
      </c>
      <c r="T227" s="64">
        <f t="shared" si="10"/>
        <v>792507.79609148309</v>
      </c>
    </row>
    <row r="228" spans="17:20" x14ac:dyDescent="0.35">
      <c r="Q228" s="50">
        <v>206</v>
      </c>
      <c r="R228" s="50">
        <f t="shared" ref="R228:R291" si="11">R216*(1+$R$18)</f>
        <v>2464.4619405107437</v>
      </c>
      <c r="T228" s="64">
        <f t="shared" si="10"/>
        <v>800272.07308554044</v>
      </c>
    </row>
    <row r="229" spans="17:20" x14ac:dyDescent="0.35">
      <c r="Q229" s="50">
        <v>207</v>
      </c>
      <c r="R229" s="50">
        <f t="shared" si="11"/>
        <v>2464.4619405107437</v>
      </c>
      <c r="T229" s="64">
        <f t="shared" si="10"/>
        <v>808088.1119262249</v>
      </c>
    </row>
    <row r="230" spans="17:20" x14ac:dyDescent="0.35">
      <c r="Q230" s="50">
        <v>208</v>
      </c>
      <c r="R230" s="50">
        <f t="shared" si="11"/>
        <v>2464.4619405107437</v>
      </c>
      <c r="T230" s="64">
        <f t="shared" si="10"/>
        <v>815956.25769251387</v>
      </c>
    </row>
    <row r="231" spans="17:20" x14ac:dyDescent="0.35">
      <c r="Q231" s="50">
        <v>209</v>
      </c>
      <c r="R231" s="50">
        <f t="shared" si="11"/>
        <v>2464.4619405107437</v>
      </c>
      <c r="T231" s="64">
        <f t="shared" si="10"/>
        <v>823876.85776391148</v>
      </c>
    </row>
    <row r="232" spans="17:20" x14ac:dyDescent="0.35">
      <c r="Q232" s="50">
        <v>210</v>
      </c>
      <c r="R232" s="50">
        <f t="shared" si="11"/>
        <v>2464.4619405107437</v>
      </c>
      <c r="T232" s="64">
        <f t="shared" si="10"/>
        <v>831850.261835785</v>
      </c>
    </row>
    <row r="233" spans="17:20" x14ac:dyDescent="0.35">
      <c r="Q233" s="50">
        <v>211</v>
      </c>
      <c r="R233" s="50">
        <f t="shared" si="11"/>
        <v>2464.4619405107437</v>
      </c>
      <c r="T233" s="64">
        <f t="shared" si="10"/>
        <v>839876.82193480432</v>
      </c>
    </row>
    <row r="234" spans="17:20" x14ac:dyDescent="0.35">
      <c r="Q234" s="50">
        <v>212</v>
      </c>
      <c r="R234" s="50">
        <f t="shared" si="11"/>
        <v>2464.4619405107437</v>
      </c>
      <c r="T234" s="64">
        <f t="shared" si="10"/>
        <v>847956.89243448386</v>
      </c>
    </row>
    <row r="235" spans="17:20" x14ac:dyDescent="0.35">
      <c r="Q235" s="50">
        <v>213</v>
      </c>
      <c r="R235" s="50">
        <f t="shared" si="11"/>
        <v>2464.4619405107437</v>
      </c>
      <c r="T235" s="64">
        <f t="shared" si="10"/>
        <v>856090.83007082785</v>
      </c>
    </row>
    <row r="236" spans="17:20" x14ac:dyDescent="0.35">
      <c r="Q236" s="50">
        <v>214</v>
      </c>
      <c r="R236" s="50">
        <f t="shared" si="11"/>
        <v>2464.4619405107437</v>
      </c>
      <c r="T236" s="64">
        <f t="shared" si="10"/>
        <v>864278.99395808089</v>
      </c>
    </row>
    <row r="237" spans="17:20" x14ac:dyDescent="0.35">
      <c r="Q237" s="50">
        <v>215</v>
      </c>
      <c r="R237" s="50">
        <f t="shared" si="11"/>
        <v>2464.4619405107437</v>
      </c>
      <c r="T237" s="64">
        <f t="shared" si="10"/>
        <v>872521.74560458225</v>
      </c>
    </row>
    <row r="238" spans="17:20" x14ac:dyDescent="0.35">
      <c r="Q238" s="50">
        <v>216</v>
      </c>
      <c r="R238" s="50">
        <f t="shared" si="11"/>
        <v>2464.4619405107437</v>
      </c>
      <c r="T238" s="64">
        <f t="shared" si="10"/>
        <v>880819.44892872695</v>
      </c>
    </row>
    <row r="239" spans="17:20" x14ac:dyDescent="0.35">
      <c r="Q239" s="50">
        <v>217</v>
      </c>
      <c r="R239" s="50">
        <f t="shared" si="11"/>
        <v>2538.395798726066</v>
      </c>
      <c r="T239" s="64">
        <f t="shared" si="10"/>
        <v>889246.89702563605</v>
      </c>
    </row>
    <row r="240" spans="17:20" x14ac:dyDescent="0.35">
      <c r="Q240" s="50">
        <v>218</v>
      </c>
      <c r="R240" s="50">
        <f t="shared" si="11"/>
        <v>2538.395798726066</v>
      </c>
      <c r="T240" s="64">
        <f t="shared" si="10"/>
        <v>897730.52810985781</v>
      </c>
    </row>
    <row r="241" spans="17:20" x14ac:dyDescent="0.35">
      <c r="Q241" s="50">
        <v>219</v>
      </c>
      <c r="R241" s="50">
        <f t="shared" si="11"/>
        <v>2538.395798726066</v>
      </c>
      <c r="T241" s="64">
        <f t="shared" si="10"/>
        <v>906270.71673464112</v>
      </c>
    </row>
    <row r="242" spans="17:20" x14ac:dyDescent="0.35">
      <c r="Q242" s="50">
        <v>220</v>
      </c>
      <c r="R242" s="50">
        <f t="shared" si="11"/>
        <v>2538.395798726066</v>
      </c>
      <c r="T242" s="64">
        <f t="shared" si="10"/>
        <v>914867.83995025628</v>
      </c>
    </row>
    <row r="243" spans="17:20" x14ac:dyDescent="0.35">
      <c r="Q243" s="50">
        <v>221</v>
      </c>
      <c r="R243" s="50">
        <f t="shared" si="11"/>
        <v>2538.395798726066</v>
      </c>
      <c r="T243" s="64">
        <f t="shared" si="10"/>
        <v>923522.27732064226</v>
      </c>
    </row>
    <row r="244" spans="17:20" x14ac:dyDescent="0.35">
      <c r="Q244" s="50">
        <v>222</v>
      </c>
      <c r="R244" s="50">
        <f t="shared" si="11"/>
        <v>2538.395798726066</v>
      </c>
      <c r="T244" s="64">
        <f t="shared" si="10"/>
        <v>932234.41094016412</v>
      </c>
    </row>
    <row r="245" spans="17:20" x14ac:dyDescent="0.35">
      <c r="Q245" s="50">
        <v>223</v>
      </c>
      <c r="R245" s="50">
        <f t="shared" si="11"/>
        <v>2538.395798726066</v>
      </c>
      <c r="T245" s="64">
        <f t="shared" si="10"/>
        <v>941004.62545048282</v>
      </c>
    </row>
    <row r="246" spans="17:20" x14ac:dyDescent="0.35">
      <c r="Q246" s="50">
        <v>224</v>
      </c>
      <c r="R246" s="50">
        <f t="shared" si="11"/>
        <v>2538.395798726066</v>
      </c>
      <c r="T246" s="64">
        <f t="shared" si="10"/>
        <v>949833.30805753695</v>
      </c>
    </row>
    <row r="247" spans="17:20" x14ac:dyDescent="0.35">
      <c r="Q247" s="50">
        <v>225</v>
      </c>
      <c r="R247" s="50">
        <f t="shared" si="11"/>
        <v>2538.395798726066</v>
      </c>
      <c r="T247" s="64">
        <f t="shared" si="10"/>
        <v>958720.84854863805</v>
      </c>
    </row>
    <row r="248" spans="17:20" x14ac:dyDescent="0.35">
      <c r="Q248" s="50">
        <v>226</v>
      </c>
      <c r="R248" s="50">
        <f t="shared" si="11"/>
        <v>2538.395798726066</v>
      </c>
      <c r="T248" s="64">
        <f t="shared" si="10"/>
        <v>967667.63930967986</v>
      </c>
    </row>
    <row r="249" spans="17:20" x14ac:dyDescent="0.35">
      <c r="Q249" s="50">
        <v>227</v>
      </c>
      <c r="R249" s="50">
        <f t="shared" si="11"/>
        <v>2538.395798726066</v>
      </c>
      <c r="T249" s="64">
        <f t="shared" si="10"/>
        <v>976674.07534246193</v>
      </c>
    </row>
    <row r="250" spans="17:20" x14ac:dyDescent="0.35">
      <c r="Q250" s="50">
        <v>228</v>
      </c>
      <c r="R250" s="50">
        <f t="shared" si="11"/>
        <v>2538.395798726066</v>
      </c>
      <c r="T250" s="64">
        <f t="shared" si="10"/>
        <v>985740.55428212928</v>
      </c>
    </row>
    <row r="251" spans="17:20" x14ac:dyDescent="0.35">
      <c r="Q251" s="50">
        <v>229</v>
      </c>
      <c r="R251" s="50">
        <f t="shared" si="11"/>
        <v>2614.5476726878483</v>
      </c>
      <c r="T251" s="64">
        <f t="shared" si="10"/>
        <v>994944.13596784917</v>
      </c>
    </row>
    <row r="252" spans="17:20" x14ac:dyDescent="0.35">
      <c r="Q252" s="50">
        <v>230</v>
      </c>
      <c r="R252" s="50">
        <f t="shared" si="11"/>
        <v>2614.5476726878483</v>
      </c>
      <c r="T252" s="64">
        <f t="shared" si="10"/>
        <v>1004209.0748648072</v>
      </c>
    </row>
    <row r="253" spans="17:20" x14ac:dyDescent="0.35">
      <c r="Q253" s="50">
        <v>231</v>
      </c>
      <c r="R253" s="50">
        <f t="shared" si="11"/>
        <v>2614.5476726878483</v>
      </c>
      <c r="T253" s="64">
        <f t="shared" si="10"/>
        <v>1013535.7800210782</v>
      </c>
    </row>
    <row r="254" spans="17:20" x14ac:dyDescent="0.35">
      <c r="Q254" s="50">
        <v>232</v>
      </c>
      <c r="R254" s="50">
        <f t="shared" si="11"/>
        <v>2614.5476726878483</v>
      </c>
      <c r="T254" s="64">
        <f t="shared" si="10"/>
        <v>1022924.6632117244</v>
      </c>
    </row>
    <row r="255" spans="17:20" x14ac:dyDescent="0.35">
      <c r="Q255" s="50">
        <v>233</v>
      </c>
      <c r="R255" s="50">
        <f t="shared" si="11"/>
        <v>2614.5476726878483</v>
      </c>
      <c r="T255" s="64">
        <f t="shared" si="10"/>
        <v>1032376.1389569748</v>
      </c>
    </row>
    <row r="256" spans="17:20" x14ac:dyDescent="0.35">
      <c r="Q256" s="50">
        <v>234</v>
      </c>
      <c r="R256" s="50">
        <f t="shared" si="11"/>
        <v>2614.5476726878483</v>
      </c>
      <c r="T256" s="64">
        <f t="shared" si="10"/>
        <v>1041890.624540527</v>
      </c>
    </row>
    <row r="257" spans="17:20" x14ac:dyDescent="0.35">
      <c r="Q257" s="50">
        <v>235</v>
      </c>
      <c r="R257" s="50">
        <f t="shared" si="11"/>
        <v>2614.5476726878483</v>
      </c>
      <c r="T257" s="64">
        <f t="shared" si="10"/>
        <v>1051468.5400279695</v>
      </c>
    </row>
    <row r="258" spans="17:20" x14ac:dyDescent="0.35">
      <c r="Q258" s="50">
        <v>236</v>
      </c>
      <c r="R258" s="50">
        <f t="shared" si="11"/>
        <v>2614.5476726878483</v>
      </c>
      <c r="T258" s="64">
        <f t="shared" si="10"/>
        <v>1061110.3082853283</v>
      </c>
    </row>
    <row r="259" spans="17:20" x14ac:dyDescent="0.35">
      <c r="Q259" s="50">
        <v>237</v>
      </c>
      <c r="R259" s="50">
        <f t="shared" si="11"/>
        <v>2614.5476726878483</v>
      </c>
      <c r="T259" s="64">
        <f t="shared" si="10"/>
        <v>1070816.3549977362</v>
      </c>
    </row>
    <row r="260" spans="17:20" x14ac:dyDescent="0.35">
      <c r="Q260" s="50">
        <v>238</v>
      </c>
      <c r="R260" s="50">
        <f t="shared" si="11"/>
        <v>2614.5476726878483</v>
      </c>
      <c r="T260" s="64">
        <f t="shared" si="10"/>
        <v>1080587.1086882267</v>
      </c>
    </row>
    <row r="261" spans="17:20" x14ac:dyDescent="0.35">
      <c r="Q261" s="50">
        <v>239</v>
      </c>
      <c r="R261" s="50">
        <f t="shared" si="11"/>
        <v>2614.5476726878483</v>
      </c>
      <c r="T261" s="64">
        <f t="shared" si="10"/>
        <v>1090423.0007366538</v>
      </c>
    </row>
    <row r="262" spans="17:20" x14ac:dyDescent="0.35">
      <c r="Q262" s="50">
        <v>240</v>
      </c>
      <c r="R262" s="50">
        <f t="shared" si="11"/>
        <v>2614.5476726878483</v>
      </c>
      <c r="T262" s="64">
        <f t="shared" si="10"/>
        <v>1100324.4653987372</v>
      </c>
    </row>
    <row r="263" spans="17:20" x14ac:dyDescent="0.35">
      <c r="Q263" s="50">
        <v>241</v>
      </c>
      <c r="R263" s="50">
        <f t="shared" si="11"/>
        <v>2692.9841028684837</v>
      </c>
      <c r="T263" s="64">
        <f t="shared" si="10"/>
        <v>1110370.8991649498</v>
      </c>
    </row>
    <row r="264" spans="17:20" x14ac:dyDescent="0.35">
      <c r="Q264" s="50">
        <v>242</v>
      </c>
      <c r="R264" s="50">
        <f t="shared" si="11"/>
        <v>2692.9841028684837</v>
      </c>
      <c r="T264" s="64">
        <f t="shared" si="10"/>
        <v>1120484.3091562702</v>
      </c>
    </row>
    <row r="265" spans="17:20" x14ac:dyDescent="0.35">
      <c r="Q265" s="50">
        <v>243</v>
      </c>
      <c r="R265" s="50">
        <f t="shared" si="11"/>
        <v>2692.9841028684837</v>
      </c>
      <c r="T265" s="64">
        <f t="shared" si="10"/>
        <v>1130665.1418808661</v>
      </c>
    </row>
    <row r="266" spans="17:20" x14ac:dyDescent="0.35">
      <c r="Q266" s="50">
        <v>244</v>
      </c>
      <c r="R266" s="50">
        <f t="shared" si="11"/>
        <v>2692.9841028684837</v>
      </c>
      <c r="T266" s="64">
        <f t="shared" si="10"/>
        <v>1140913.8468236262</v>
      </c>
    </row>
    <row r="267" spans="17:20" x14ac:dyDescent="0.35">
      <c r="Q267" s="50">
        <v>245</v>
      </c>
      <c r="R267" s="50">
        <f t="shared" si="11"/>
        <v>2692.9841028684837</v>
      </c>
      <c r="T267" s="64">
        <f t="shared" si="10"/>
        <v>1151230.8764660046</v>
      </c>
    </row>
    <row r="268" spans="17:20" x14ac:dyDescent="0.35">
      <c r="Q268" s="50">
        <v>246</v>
      </c>
      <c r="R268" s="50">
        <f t="shared" si="11"/>
        <v>2692.9841028684837</v>
      </c>
      <c r="T268" s="64">
        <f t="shared" si="10"/>
        <v>1161616.6863059988</v>
      </c>
    </row>
    <row r="269" spans="17:20" x14ac:dyDescent="0.35">
      <c r="Q269" s="50">
        <v>247</v>
      </c>
      <c r="R269" s="50">
        <f t="shared" si="11"/>
        <v>2692.9841028684837</v>
      </c>
      <c r="T269" s="64">
        <f t="shared" si="10"/>
        <v>1172071.7348782597</v>
      </c>
    </row>
    <row r="270" spans="17:20" x14ac:dyDescent="0.35">
      <c r="Q270" s="50">
        <v>248</v>
      </c>
      <c r="R270" s="50">
        <f t="shared" si="11"/>
        <v>2692.9841028684837</v>
      </c>
      <c r="T270" s="64">
        <f t="shared" si="10"/>
        <v>1182596.4837743356</v>
      </c>
    </row>
    <row r="271" spans="17:20" x14ac:dyDescent="0.35">
      <c r="Q271" s="50">
        <v>249</v>
      </c>
      <c r="R271" s="50">
        <f t="shared" si="11"/>
        <v>2692.9841028684837</v>
      </c>
      <c r="T271" s="64">
        <f t="shared" si="10"/>
        <v>1193191.397663052</v>
      </c>
    </row>
    <row r="272" spans="17:20" x14ac:dyDescent="0.35">
      <c r="Q272" s="50">
        <v>250</v>
      </c>
      <c r="R272" s="50">
        <f t="shared" si="11"/>
        <v>2692.9841028684837</v>
      </c>
      <c r="T272" s="64">
        <f t="shared" si="10"/>
        <v>1203856.9443110265</v>
      </c>
    </row>
    <row r="273" spans="17:20" x14ac:dyDescent="0.35">
      <c r="Q273" s="50">
        <v>251</v>
      </c>
      <c r="R273" s="50">
        <f t="shared" si="11"/>
        <v>2692.9841028684837</v>
      </c>
      <c r="T273" s="64">
        <f t="shared" si="10"/>
        <v>1214593.5946033208</v>
      </c>
    </row>
    <row r="274" spans="17:20" x14ac:dyDescent="0.35">
      <c r="Q274" s="50">
        <v>252</v>
      </c>
      <c r="R274" s="50">
        <f t="shared" si="11"/>
        <v>2692.9841028684837</v>
      </c>
      <c r="T274" s="64">
        <f t="shared" si="10"/>
        <v>1225401.8225642305</v>
      </c>
    </row>
    <row r="275" spans="17:20" x14ac:dyDescent="0.35">
      <c r="Q275" s="50">
        <v>253</v>
      </c>
      <c r="R275" s="50">
        <f t="shared" si="11"/>
        <v>2773.7736259545381</v>
      </c>
      <c r="T275" s="64">
        <f t="shared" si="10"/>
        <v>1236363.4334981195</v>
      </c>
    </row>
    <row r="276" spans="17:20" x14ac:dyDescent="0.35">
      <c r="Q276" s="50">
        <v>254</v>
      </c>
      <c r="R276" s="50">
        <f t="shared" si="11"/>
        <v>2773.7736259545381</v>
      </c>
      <c r="T276" s="64">
        <f t="shared" si="10"/>
        <v>1247398.1218382344</v>
      </c>
    </row>
    <row r="277" spans="17:20" x14ac:dyDescent="0.35">
      <c r="Q277" s="50">
        <v>255</v>
      </c>
      <c r="R277" s="50">
        <f t="shared" si="11"/>
        <v>2773.7736259545381</v>
      </c>
      <c r="T277" s="64">
        <f t="shared" si="10"/>
        <v>1258506.3747672834</v>
      </c>
    </row>
    <row r="278" spans="17:20" x14ac:dyDescent="0.35">
      <c r="Q278" s="50">
        <v>256</v>
      </c>
      <c r="R278" s="50">
        <f t="shared" si="11"/>
        <v>2773.7736259545381</v>
      </c>
      <c r="T278" s="64">
        <f t="shared" si="10"/>
        <v>1269688.6827158595</v>
      </c>
    </row>
    <row r="279" spans="17:20" x14ac:dyDescent="0.35">
      <c r="Q279" s="50">
        <v>257</v>
      </c>
      <c r="R279" s="50">
        <f t="shared" si="11"/>
        <v>2773.7736259545381</v>
      </c>
      <c r="T279" s="64">
        <f t="shared" si="10"/>
        <v>1280945.5393840927</v>
      </c>
    </row>
    <row r="280" spans="17:20" x14ac:dyDescent="0.35">
      <c r="Q280" s="50">
        <v>258</v>
      </c>
      <c r="R280" s="50">
        <f t="shared" si="11"/>
        <v>2773.7736259545381</v>
      </c>
      <c r="T280" s="64">
        <f t="shared" si="10"/>
        <v>1292277.4417634474</v>
      </c>
    </row>
    <row r="281" spans="17:20" x14ac:dyDescent="0.35">
      <c r="Q281" s="50">
        <v>259</v>
      </c>
      <c r="R281" s="50">
        <f t="shared" si="11"/>
        <v>2773.7736259545381</v>
      </c>
      <c r="T281" s="64">
        <f t="shared" ref="T281:T344" si="12">(T280+R281)*(1+$T$18)</f>
        <v>1303684.8901586644</v>
      </c>
    </row>
    <row r="282" spans="17:20" x14ac:dyDescent="0.35">
      <c r="Q282" s="50">
        <v>260</v>
      </c>
      <c r="R282" s="50">
        <f t="shared" si="11"/>
        <v>2773.7736259545381</v>
      </c>
      <c r="T282" s="64">
        <f t="shared" si="12"/>
        <v>1315168.3882098496</v>
      </c>
    </row>
    <row r="283" spans="17:20" x14ac:dyDescent="0.35">
      <c r="Q283" s="50">
        <v>261</v>
      </c>
      <c r="R283" s="50">
        <f t="shared" si="11"/>
        <v>2773.7736259545381</v>
      </c>
      <c r="T283" s="64">
        <f t="shared" si="12"/>
        <v>1326728.4429147094</v>
      </c>
    </row>
    <row r="284" spans="17:20" x14ac:dyDescent="0.35">
      <c r="Q284" s="50">
        <v>262</v>
      </c>
      <c r="R284" s="50">
        <f t="shared" si="11"/>
        <v>2773.7736259545381</v>
      </c>
      <c r="T284" s="64">
        <f t="shared" si="12"/>
        <v>1338365.5646509349</v>
      </c>
    </row>
    <row r="285" spans="17:20" x14ac:dyDescent="0.35">
      <c r="Q285" s="50">
        <v>263</v>
      </c>
      <c r="R285" s="50">
        <f t="shared" si="11"/>
        <v>2773.7736259545381</v>
      </c>
      <c r="T285" s="64">
        <f t="shared" si="12"/>
        <v>1350080.2671987351</v>
      </c>
    </row>
    <row r="286" spans="17:20" x14ac:dyDescent="0.35">
      <c r="Q286" s="50">
        <v>264</v>
      </c>
      <c r="R286" s="50">
        <f t="shared" si="11"/>
        <v>2773.7736259545381</v>
      </c>
      <c r="T286" s="64">
        <f t="shared" si="12"/>
        <v>1361873.0677635209</v>
      </c>
    </row>
    <row r="287" spans="17:20" x14ac:dyDescent="0.35">
      <c r="Q287" s="50">
        <v>265</v>
      </c>
      <c r="R287" s="50">
        <f t="shared" si="11"/>
        <v>2856.9868347331744</v>
      </c>
      <c r="T287" s="64">
        <f t="shared" si="12"/>
        <v>1373828.2549622424</v>
      </c>
    </row>
    <row r="288" spans="17:20" x14ac:dyDescent="0.35">
      <c r="Q288" s="50">
        <v>266</v>
      </c>
      <c r="R288" s="50">
        <f t="shared" si="11"/>
        <v>2856.9868347331744</v>
      </c>
      <c r="T288" s="64">
        <f t="shared" si="12"/>
        <v>1385863.1434089555</v>
      </c>
    </row>
    <row r="289" spans="17:20" x14ac:dyDescent="0.35">
      <c r="Q289" s="50">
        <v>267</v>
      </c>
      <c r="R289" s="50">
        <f t="shared" si="11"/>
        <v>2856.9868347331744</v>
      </c>
      <c r="T289" s="64">
        <f t="shared" si="12"/>
        <v>1397978.2644453133</v>
      </c>
    </row>
    <row r="290" spans="17:20" x14ac:dyDescent="0.35">
      <c r="Q290" s="50">
        <v>268</v>
      </c>
      <c r="R290" s="50">
        <f t="shared" si="11"/>
        <v>2856.9868347331744</v>
      </c>
      <c r="T290" s="64">
        <f t="shared" si="12"/>
        <v>1410174.1529552469</v>
      </c>
    </row>
    <row r="291" spans="17:20" x14ac:dyDescent="0.35">
      <c r="Q291" s="50">
        <v>269</v>
      </c>
      <c r="R291" s="50">
        <f t="shared" si="11"/>
        <v>2856.9868347331744</v>
      </c>
      <c r="T291" s="64">
        <f t="shared" si="12"/>
        <v>1422451.34738858</v>
      </c>
    </row>
    <row r="292" spans="17:20" x14ac:dyDescent="0.35">
      <c r="Q292" s="50">
        <v>270</v>
      </c>
      <c r="R292" s="50">
        <f t="shared" ref="R292:R355" si="13">R280*(1+$R$18)</f>
        <v>2856.9868347331744</v>
      </c>
      <c r="T292" s="64">
        <f t="shared" si="12"/>
        <v>1434810.389784802</v>
      </c>
    </row>
    <row r="293" spans="17:20" x14ac:dyDescent="0.35">
      <c r="Q293" s="50">
        <v>271</v>
      </c>
      <c r="R293" s="50">
        <f t="shared" si="13"/>
        <v>2856.9868347331744</v>
      </c>
      <c r="T293" s="64">
        <f t="shared" si="12"/>
        <v>1447251.8257969988</v>
      </c>
    </row>
    <row r="294" spans="17:20" x14ac:dyDescent="0.35">
      <c r="Q294" s="50">
        <v>272</v>
      </c>
      <c r="R294" s="50">
        <f t="shared" si="13"/>
        <v>2856.9868347331744</v>
      </c>
      <c r="T294" s="64">
        <f t="shared" si="12"/>
        <v>1459776.2047159434</v>
      </c>
    </row>
    <row r="295" spans="17:20" x14ac:dyDescent="0.35">
      <c r="Q295" s="50">
        <v>273</v>
      </c>
      <c r="R295" s="50">
        <f t="shared" si="13"/>
        <v>2856.9868347331744</v>
      </c>
      <c r="T295" s="64">
        <f t="shared" si="12"/>
        <v>1472384.0794943478</v>
      </c>
    </row>
    <row r="296" spans="17:20" x14ac:dyDescent="0.35">
      <c r="Q296" s="50">
        <v>274</v>
      </c>
      <c r="R296" s="50">
        <f t="shared" si="13"/>
        <v>2856.9868347331744</v>
      </c>
      <c r="T296" s="64">
        <f t="shared" si="12"/>
        <v>1485076.0067712748</v>
      </c>
    </row>
    <row r="297" spans="17:20" x14ac:dyDescent="0.35">
      <c r="Q297" s="50">
        <v>275</v>
      </c>
      <c r="R297" s="50">
        <f t="shared" si="13"/>
        <v>2856.9868347331744</v>
      </c>
      <c r="T297" s="64">
        <f t="shared" si="12"/>
        <v>1497852.5468967147</v>
      </c>
    </row>
    <row r="298" spans="17:20" x14ac:dyDescent="0.35">
      <c r="Q298" s="50">
        <v>276</v>
      </c>
      <c r="R298" s="50">
        <f t="shared" si="13"/>
        <v>2856.9868347331744</v>
      </c>
      <c r="T298" s="64">
        <f t="shared" si="12"/>
        <v>1510714.2639563242</v>
      </c>
    </row>
    <row r="299" spans="17:20" x14ac:dyDescent="0.35">
      <c r="Q299" s="50">
        <v>277</v>
      </c>
      <c r="R299" s="50">
        <f t="shared" si="13"/>
        <v>2942.6964397751699</v>
      </c>
      <c r="T299" s="64">
        <f t="shared" si="12"/>
        <v>1523748.00679874</v>
      </c>
    </row>
    <row r="300" spans="17:20" x14ac:dyDescent="0.35">
      <c r="Q300" s="50">
        <v>278</v>
      </c>
      <c r="R300" s="50">
        <f t="shared" si="13"/>
        <v>2942.6964397751699</v>
      </c>
      <c r="T300" s="64">
        <f t="shared" si="12"/>
        <v>1536868.6412601052</v>
      </c>
    </row>
    <row r="301" spans="17:20" x14ac:dyDescent="0.35">
      <c r="Q301" s="50">
        <v>279</v>
      </c>
      <c r="R301" s="50">
        <f t="shared" si="13"/>
        <v>2942.6964397751699</v>
      </c>
      <c r="T301" s="64">
        <f t="shared" si="12"/>
        <v>1550076.7466178795</v>
      </c>
    </row>
    <row r="302" spans="17:20" x14ac:dyDescent="0.35">
      <c r="Q302" s="50">
        <v>280</v>
      </c>
      <c r="R302" s="50">
        <f t="shared" si="13"/>
        <v>2942.6964397751699</v>
      </c>
      <c r="T302" s="64">
        <f t="shared" si="12"/>
        <v>1563372.9060113723</v>
      </c>
    </row>
    <row r="303" spans="17:20" x14ac:dyDescent="0.35">
      <c r="Q303" s="50">
        <v>281</v>
      </c>
      <c r="R303" s="50">
        <f t="shared" si="13"/>
        <v>2942.6964397751699</v>
      </c>
      <c r="T303" s="64">
        <f t="shared" si="12"/>
        <v>1576757.7064674883</v>
      </c>
    </row>
    <row r="304" spans="17:20" x14ac:dyDescent="0.35">
      <c r="Q304" s="50">
        <v>282</v>
      </c>
      <c r="R304" s="50">
        <f t="shared" si="13"/>
        <v>2942.6964397751699</v>
      </c>
      <c r="T304" s="64">
        <f t="shared" si="12"/>
        <v>1590231.7389266451</v>
      </c>
    </row>
    <row r="305" spans="17:20" x14ac:dyDescent="0.35">
      <c r="Q305" s="50">
        <v>283</v>
      </c>
      <c r="R305" s="50">
        <f t="shared" si="13"/>
        <v>2942.6964397751699</v>
      </c>
      <c r="T305" s="64">
        <f t="shared" si="12"/>
        <v>1603795.598268863</v>
      </c>
    </row>
    <row r="306" spans="17:20" x14ac:dyDescent="0.35">
      <c r="Q306" s="50">
        <v>284</v>
      </c>
      <c r="R306" s="50">
        <f t="shared" si="13"/>
        <v>2942.6964397751699</v>
      </c>
      <c r="T306" s="64">
        <f t="shared" si="12"/>
        <v>1617449.883340029</v>
      </c>
    </row>
    <row r="307" spans="17:20" x14ac:dyDescent="0.35">
      <c r="Q307" s="50">
        <v>285</v>
      </c>
      <c r="R307" s="50">
        <f t="shared" si="13"/>
        <v>2942.6964397751699</v>
      </c>
      <c r="T307" s="64">
        <f t="shared" si="12"/>
        <v>1631195.1969783362</v>
      </c>
    </row>
    <row r="308" spans="17:20" x14ac:dyDescent="0.35">
      <c r="Q308" s="50">
        <v>286</v>
      </c>
      <c r="R308" s="50">
        <f t="shared" si="13"/>
        <v>2942.6964397751699</v>
      </c>
      <c r="T308" s="64">
        <f t="shared" si="12"/>
        <v>1645032.1460408987</v>
      </c>
    </row>
    <row r="309" spans="17:20" x14ac:dyDescent="0.35">
      <c r="Q309" s="50">
        <v>287</v>
      </c>
      <c r="R309" s="50">
        <f t="shared" si="13"/>
        <v>2942.6964397751699</v>
      </c>
      <c r="T309" s="64">
        <f t="shared" si="12"/>
        <v>1658961.3414305449</v>
      </c>
    </row>
    <row r="310" spans="17:20" x14ac:dyDescent="0.35">
      <c r="Q310" s="50">
        <v>288</v>
      </c>
      <c r="R310" s="50">
        <f t="shared" si="13"/>
        <v>2942.6964397751699</v>
      </c>
      <c r="T310" s="64">
        <f t="shared" si="12"/>
        <v>1672983.3981227886</v>
      </c>
    </row>
    <row r="311" spans="17:20" x14ac:dyDescent="0.35">
      <c r="Q311" s="50">
        <v>289</v>
      </c>
      <c r="R311" s="50">
        <f t="shared" si="13"/>
        <v>3030.9773329684249</v>
      </c>
      <c r="T311" s="64">
        <f t="shared" si="12"/>
        <v>1687187.804625462</v>
      </c>
    </row>
    <row r="312" spans="17:20" x14ac:dyDescent="0.35">
      <c r="Q312" s="50">
        <v>290</v>
      </c>
      <c r="R312" s="50">
        <f t="shared" si="13"/>
        <v>3030.9773329684249</v>
      </c>
      <c r="T312" s="64">
        <f t="shared" si="12"/>
        <v>1701486.9071714866</v>
      </c>
    </row>
    <row r="313" spans="17:20" x14ac:dyDescent="0.35">
      <c r="Q313" s="50">
        <v>291</v>
      </c>
      <c r="R313" s="50">
        <f t="shared" si="13"/>
        <v>3030.9773329684249</v>
      </c>
      <c r="T313" s="64">
        <f t="shared" si="12"/>
        <v>1715881.337067818</v>
      </c>
    </row>
    <row r="314" spans="17:20" x14ac:dyDescent="0.35">
      <c r="Q314" s="50">
        <v>292</v>
      </c>
      <c r="R314" s="50">
        <f t="shared" si="13"/>
        <v>3030.9773329684249</v>
      </c>
      <c r="T314" s="64">
        <f t="shared" si="12"/>
        <v>1730371.7298301249</v>
      </c>
    </row>
    <row r="315" spans="17:20" x14ac:dyDescent="0.35">
      <c r="Q315" s="50">
        <v>293</v>
      </c>
      <c r="R315" s="50">
        <f t="shared" si="13"/>
        <v>3030.9773329684249</v>
      </c>
      <c r="T315" s="64">
        <f t="shared" si="12"/>
        <v>1744958.7252108471</v>
      </c>
    </row>
    <row r="316" spans="17:20" x14ac:dyDescent="0.35">
      <c r="Q316" s="50">
        <v>294</v>
      </c>
      <c r="R316" s="50">
        <f t="shared" si="13"/>
        <v>3030.9773329684249</v>
      </c>
      <c r="T316" s="64">
        <f t="shared" si="12"/>
        <v>1759642.967227441</v>
      </c>
    </row>
    <row r="317" spans="17:20" x14ac:dyDescent="0.35">
      <c r="Q317" s="50">
        <v>295</v>
      </c>
      <c r="R317" s="50">
        <f t="shared" si="13"/>
        <v>3030.9773329684249</v>
      </c>
      <c r="T317" s="64">
        <f t="shared" si="12"/>
        <v>1774425.1041908122</v>
      </c>
    </row>
    <row r="318" spans="17:20" x14ac:dyDescent="0.35">
      <c r="Q318" s="50">
        <v>296</v>
      </c>
      <c r="R318" s="50">
        <f t="shared" si="13"/>
        <v>3030.9773329684249</v>
      </c>
      <c r="T318" s="64">
        <f t="shared" si="12"/>
        <v>1789305.7887339392</v>
      </c>
    </row>
    <row r="319" spans="17:20" x14ac:dyDescent="0.35">
      <c r="Q319" s="50">
        <v>297</v>
      </c>
      <c r="R319" s="50">
        <f t="shared" si="13"/>
        <v>3030.9773329684249</v>
      </c>
      <c r="T319" s="64">
        <f t="shared" si="12"/>
        <v>1804285.6778406869</v>
      </c>
    </row>
    <row r="320" spans="17:20" x14ac:dyDescent="0.35">
      <c r="Q320" s="50">
        <v>298</v>
      </c>
      <c r="R320" s="50">
        <f t="shared" si="13"/>
        <v>3030.9773329684249</v>
      </c>
      <c r="T320" s="64">
        <f t="shared" si="12"/>
        <v>1819365.432874813</v>
      </c>
    </row>
    <row r="321" spans="17:20" x14ac:dyDescent="0.35">
      <c r="Q321" s="50">
        <v>299</v>
      </c>
      <c r="R321" s="50">
        <f t="shared" si="13"/>
        <v>3030.9773329684249</v>
      </c>
      <c r="T321" s="64">
        <f t="shared" si="12"/>
        <v>1834545.7196091665</v>
      </c>
    </row>
    <row r="322" spans="17:20" x14ac:dyDescent="0.35">
      <c r="Q322" s="50">
        <v>300</v>
      </c>
      <c r="R322" s="50">
        <f t="shared" si="13"/>
        <v>3030.9773329684249</v>
      </c>
      <c r="T322" s="64">
        <f t="shared" si="12"/>
        <v>1849827.2082550824</v>
      </c>
    </row>
    <row r="323" spans="17:20" x14ac:dyDescent="0.35">
      <c r="Q323" s="50">
        <v>301</v>
      </c>
      <c r="R323" s="50">
        <f t="shared" si="13"/>
        <v>3121.9066529574775</v>
      </c>
      <c r="T323" s="64">
        <f t="shared" si="12"/>
        <v>1865302.1090074265</v>
      </c>
    </row>
    <row r="324" spans="17:20" x14ac:dyDescent="0.35">
      <c r="Q324" s="50">
        <v>302</v>
      </c>
      <c r="R324" s="50">
        <f t="shared" si="13"/>
        <v>3121.9066529574775</v>
      </c>
      <c r="T324" s="64">
        <f t="shared" si="12"/>
        <v>1880880.1757647863</v>
      </c>
    </row>
    <row r="325" spans="17:20" x14ac:dyDescent="0.35">
      <c r="Q325" s="50">
        <v>303</v>
      </c>
      <c r="R325" s="50">
        <f t="shared" si="13"/>
        <v>3121.9066529574775</v>
      </c>
      <c r="T325" s="64">
        <f t="shared" si="12"/>
        <v>1896562.0963005286</v>
      </c>
    </row>
    <row r="326" spans="17:20" x14ac:dyDescent="0.35">
      <c r="Q326" s="50">
        <v>304</v>
      </c>
      <c r="R326" s="50">
        <f t="shared" si="13"/>
        <v>3121.9066529574775</v>
      </c>
      <c r="T326" s="64">
        <f t="shared" si="12"/>
        <v>1912348.5629731759</v>
      </c>
    </row>
    <row r="327" spans="17:20" x14ac:dyDescent="0.35">
      <c r="Q327" s="50">
        <v>305</v>
      </c>
      <c r="R327" s="50">
        <f t="shared" si="13"/>
        <v>3121.9066529574775</v>
      </c>
      <c r="T327" s="64">
        <f t="shared" si="12"/>
        <v>1928240.272756974</v>
      </c>
    </row>
    <row r="328" spans="17:20" x14ac:dyDescent="0.35">
      <c r="Q328" s="50">
        <v>306</v>
      </c>
      <c r="R328" s="50">
        <f t="shared" si="13"/>
        <v>3121.9066529574775</v>
      </c>
      <c r="T328" s="64">
        <f t="shared" si="12"/>
        <v>1944237.9272726642</v>
      </c>
    </row>
    <row r="329" spans="17:20" x14ac:dyDescent="0.35">
      <c r="Q329" s="50">
        <v>307</v>
      </c>
      <c r="R329" s="50">
        <f t="shared" si="13"/>
        <v>3121.9066529574775</v>
      </c>
      <c r="T329" s="64">
        <f t="shared" si="12"/>
        <v>1960342.2328184589</v>
      </c>
    </row>
    <row r="330" spans="17:20" x14ac:dyDescent="0.35">
      <c r="Q330" s="50">
        <v>308</v>
      </c>
      <c r="R330" s="50">
        <f t="shared" si="13"/>
        <v>3121.9066529574775</v>
      </c>
      <c r="T330" s="64">
        <f t="shared" si="12"/>
        <v>1976553.9004012258</v>
      </c>
    </row>
    <row r="331" spans="17:20" x14ac:dyDescent="0.35">
      <c r="Q331" s="50">
        <v>309</v>
      </c>
      <c r="R331" s="50">
        <f t="shared" si="13"/>
        <v>3121.9066529574775</v>
      </c>
      <c r="T331" s="64">
        <f t="shared" si="12"/>
        <v>1992873.6457678776</v>
      </c>
    </row>
    <row r="332" spans="17:20" x14ac:dyDescent="0.35">
      <c r="Q332" s="50">
        <v>310</v>
      </c>
      <c r="R332" s="50">
        <f t="shared" si="13"/>
        <v>3121.9066529574775</v>
      </c>
      <c r="T332" s="64">
        <f t="shared" si="12"/>
        <v>2009302.1894369738</v>
      </c>
    </row>
    <row r="333" spans="17:20" x14ac:dyDescent="0.35">
      <c r="Q333" s="50">
        <v>311</v>
      </c>
      <c r="R333" s="50">
        <f t="shared" si="13"/>
        <v>3121.9066529574775</v>
      </c>
      <c r="T333" s="64">
        <f t="shared" si="12"/>
        <v>2025840.2567305306</v>
      </c>
    </row>
    <row r="334" spans="17:20" x14ac:dyDescent="0.35">
      <c r="Q334" s="50">
        <v>312</v>
      </c>
      <c r="R334" s="50">
        <f t="shared" si="13"/>
        <v>3121.9066529574775</v>
      </c>
      <c r="T334" s="64">
        <f t="shared" si="12"/>
        <v>2042488.5778060446</v>
      </c>
    </row>
    <row r="335" spans="17:20" x14ac:dyDescent="0.35">
      <c r="Q335" s="50">
        <v>313</v>
      </c>
      <c r="R335" s="50">
        <f t="shared" si="13"/>
        <v>3215.5638525462018</v>
      </c>
      <c r="T335" s="64">
        <f t="shared" si="12"/>
        <v>2059342.1692696479</v>
      </c>
    </row>
    <row r="336" spans="17:20" x14ac:dyDescent="0.35">
      <c r="Q336" s="50">
        <v>314</v>
      </c>
      <c r="R336" s="50">
        <f t="shared" si="13"/>
        <v>3215.5638525462018</v>
      </c>
      <c r="T336" s="64">
        <f t="shared" si="12"/>
        <v>2076308.1180096753</v>
      </c>
    </row>
    <row r="337" spans="17:20" x14ac:dyDescent="0.35">
      <c r="Q337" s="50">
        <v>315</v>
      </c>
      <c r="R337" s="50">
        <f t="shared" si="13"/>
        <v>3215.5638525462018</v>
      </c>
      <c r="T337" s="64">
        <f t="shared" si="12"/>
        <v>2093387.1730746361</v>
      </c>
    </row>
    <row r="338" spans="17:20" x14ac:dyDescent="0.35">
      <c r="Q338" s="50">
        <v>316</v>
      </c>
      <c r="R338" s="50">
        <f t="shared" si="13"/>
        <v>3215.5638525462018</v>
      </c>
      <c r="T338" s="64">
        <f t="shared" si="12"/>
        <v>2110580.0885066967</v>
      </c>
    </row>
    <row r="339" spans="17:20" x14ac:dyDescent="0.35">
      <c r="Q339" s="50">
        <v>317</v>
      </c>
      <c r="R339" s="50">
        <f t="shared" si="13"/>
        <v>3215.5638525462018</v>
      </c>
      <c r="T339" s="64">
        <f t="shared" si="12"/>
        <v>2127887.6233749711</v>
      </c>
    </row>
    <row r="340" spans="17:20" x14ac:dyDescent="0.35">
      <c r="Q340" s="50">
        <v>318</v>
      </c>
      <c r="R340" s="50">
        <f t="shared" si="13"/>
        <v>3215.5638525462018</v>
      </c>
      <c r="T340" s="64">
        <f t="shared" si="12"/>
        <v>2145310.5418090341</v>
      </c>
    </row>
    <row r="341" spans="17:20" x14ac:dyDescent="0.35">
      <c r="Q341" s="50">
        <v>319</v>
      </c>
      <c r="R341" s="50">
        <f t="shared" si="13"/>
        <v>3215.5638525462018</v>
      </c>
      <c r="T341" s="64">
        <f t="shared" si="12"/>
        <v>2162849.6130326572</v>
      </c>
    </row>
    <row r="342" spans="17:20" x14ac:dyDescent="0.35">
      <c r="Q342" s="50">
        <v>320</v>
      </c>
      <c r="R342" s="50">
        <f t="shared" si="13"/>
        <v>3215.5638525462018</v>
      </c>
      <c r="T342" s="64">
        <f t="shared" si="12"/>
        <v>2180505.6113977712</v>
      </c>
    </row>
    <row r="343" spans="17:20" x14ac:dyDescent="0.35">
      <c r="Q343" s="50">
        <v>321</v>
      </c>
      <c r="R343" s="50">
        <f t="shared" si="13"/>
        <v>3215.5638525462018</v>
      </c>
      <c r="T343" s="64">
        <f t="shared" si="12"/>
        <v>2198279.3164186529</v>
      </c>
    </row>
    <row r="344" spans="17:20" x14ac:dyDescent="0.35">
      <c r="Q344" s="50">
        <v>322</v>
      </c>
      <c r="R344" s="50">
        <f t="shared" si="13"/>
        <v>3215.5638525462018</v>
      </c>
      <c r="T344" s="64">
        <f t="shared" si="12"/>
        <v>2216171.5128063401</v>
      </c>
    </row>
    <row r="345" spans="17:20" x14ac:dyDescent="0.35">
      <c r="Q345" s="50">
        <v>323</v>
      </c>
      <c r="R345" s="50">
        <f t="shared" si="13"/>
        <v>3215.5638525462018</v>
      </c>
      <c r="T345" s="64">
        <f t="shared" ref="T345:T408" si="14">(T344+R345)*(1+$T$18)</f>
        <v>2234182.990503279</v>
      </c>
    </row>
    <row r="346" spans="17:20" x14ac:dyDescent="0.35">
      <c r="Q346" s="50">
        <v>324</v>
      </c>
      <c r="R346" s="50">
        <f t="shared" si="13"/>
        <v>3215.5638525462018</v>
      </c>
      <c r="T346" s="64">
        <f t="shared" si="14"/>
        <v>2252314.5447181971</v>
      </c>
    </row>
    <row r="347" spans="17:20" x14ac:dyDescent="0.35">
      <c r="Q347" s="50">
        <v>325</v>
      </c>
      <c r="R347" s="50">
        <f t="shared" si="13"/>
        <v>3312.0307681225881</v>
      </c>
      <c r="T347" s="64">
        <f t="shared" si="14"/>
        <v>2270664.0859895614</v>
      </c>
    </row>
    <row r="348" spans="17:20" x14ac:dyDescent="0.35">
      <c r="Q348" s="50">
        <v>326</v>
      </c>
      <c r="R348" s="50">
        <f t="shared" si="13"/>
        <v>3312.0307681225881</v>
      </c>
      <c r="T348" s="64">
        <f t="shared" si="14"/>
        <v>2289135.9575360683</v>
      </c>
    </row>
    <row r="349" spans="17:20" x14ac:dyDescent="0.35">
      <c r="Q349" s="50">
        <v>327</v>
      </c>
      <c r="R349" s="50">
        <f t="shared" si="13"/>
        <v>3312.0307681225881</v>
      </c>
      <c r="T349" s="64">
        <f t="shared" si="14"/>
        <v>2307730.9748928854</v>
      </c>
    </row>
    <row r="350" spans="17:20" x14ac:dyDescent="0.35">
      <c r="Q350" s="50">
        <v>328</v>
      </c>
      <c r="R350" s="50">
        <f t="shared" si="13"/>
        <v>3312.0307681225881</v>
      </c>
      <c r="T350" s="64">
        <f t="shared" si="14"/>
        <v>2326449.9590320811</v>
      </c>
    </row>
    <row r="351" spans="17:20" x14ac:dyDescent="0.35">
      <c r="Q351" s="50">
        <v>329</v>
      </c>
      <c r="R351" s="50">
        <f t="shared" si="13"/>
        <v>3312.0307681225881</v>
      </c>
      <c r="T351" s="64">
        <f t="shared" si="14"/>
        <v>2345293.7363988715</v>
      </c>
    </row>
    <row r="352" spans="17:20" x14ac:dyDescent="0.35">
      <c r="Q352" s="50">
        <v>330</v>
      </c>
      <c r="R352" s="50">
        <f t="shared" si="13"/>
        <v>3312.0307681225881</v>
      </c>
      <c r="T352" s="64">
        <f t="shared" si="14"/>
        <v>2364263.1389481071</v>
      </c>
    </row>
    <row r="353" spans="17:20" x14ac:dyDescent="0.35">
      <c r="Q353" s="50">
        <v>331</v>
      </c>
      <c r="R353" s="50">
        <f t="shared" si="13"/>
        <v>3312.0307681225881</v>
      </c>
      <c r="T353" s="64">
        <f t="shared" si="14"/>
        <v>2383359.0041810046</v>
      </c>
    </row>
    <row r="354" spans="17:20" x14ac:dyDescent="0.35">
      <c r="Q354" s="50">
        <v>332</v>
      </c>
      <c r="R354" s="50">
        <f t="shared" si="13"/>
        <v>3312.0307681225881</v>
      </c>
      <c r="T354" s="64">
        <f t="shared" si="14"/>
        <v>2402582.1751821213</v>
      </c>
    </row>
    <row r="355" spans="17:20" x14ac:dyDescent="0.35">
      <c r="Q355" s="50">
        <v>333</v>
      </c>
      <c r="R355" s="50">
        <f t="shared" si="13"/>
        <v>3312.0307681225881</v>
      </c>
      <c r="T355" s="64">
        <f t="shared" si="14"/>
        <v>2421933.5006565787</v>
      </c>
    </row>
    <row r="356" spans="17:20" x14ac:dyDescent="0.35">
      <c r="Q356" s="50">
        <v>334</v>
      </c>
      <c r="R356" s="50">
        <f t="shared" ref="R356:R419" si="15">R344*(1+$R$18)</f>
        <v>3312.0307681225881</v>
      </c>
      <c r="T356" s="64">
        <f t="shared" si="14"/>
        <v>2441413.8349675322</v>
      </c>
    </row>
    <row r="357" spans="17:20" x14ac:dyDescent="0.35">
      <c r="Q357" s="50">
        <v>335</v>
      </c>
      <c r="R357" s="50">
        <f t="shared" si="15"/>
        <v>3312.0307681225881</v>
      </c>
      <c r="T357" s="64">
        <f t="shared" si="14"/>
        <v>2461024.0381738921</v>
      </c>
    </row>
    <row r="358" spans="17:20" x14ac:dyDescent="0.35">
      <c r="Q358" s="50">
        <v>336</v>
      </c>
      <c r="R358" s="50">
        <f t="shared" si="15"/>
        <v>3312.0307681225881</v>
      </c>
      <c r="T358" s="64">
        <f t="shared" si="14"/>
        <v>2480764.9760682946</v>
      </c>
    </row>
    <row r="359" spans="17:20" x14ac:dyDescent="0.35">
      <c r="Q359" s="50">
        <v>337</v>
      </c>
      <c r="R359" s="50">
        <f t="shared" si="15"/>
        <v>3411.3916911662659</v>
      </c>
      <c r="T359" s="64">
        <f t="shared" si="14"/>
        <v>2500737.5435445239</v>
      </c>
    </row>
    <row r="360" spans="17:20" x14ac:dyDescent="0.35">
      <c r="Q360" s="50">
        <v>338</v>
      </c>
      <c r="R360" s="50">
        <f t="shared" si="15"/>
        <v>3411.3916911662659</v>
      </c>
      <c r="T360" s="64">
        <f t="shared" si="14"/>
        <v>2520843.2614705949</v>
      </c>
    </row>
    <row r="361" spans="17:20" x14ac:dyDescent="0.35">
      <c r="Q361" s="50">
        <v>339</v>
      </c>
      <c r="R361" s="50">
        <f t="shared" si="15"/>
        <v>3411.3916911662659</v>
      </c>
      <c r="T361" s="64">
        <f t="shared" si="14"/>
        <v>2541083.017516173</v>
      </c>
    </row>
    <row r="362" spans="17:20" x14ac:dyDescent="0.35">
      <c r="Q362" s="50">
        <v>340</v>
      </c>
      <c r="R362" s="50">
        <f t="shared" si="15"/>
        <v>3411.3916911662659</v>
      </c>
      <c r="T362" s="64">
        <f t="shared" si="14"/>
        <v>2561457.7052687216</v>
      </c>
    </row>
    <row r="363" spans="17:20" x14ac:dyDescent="0.35">
      <c r="Q363" s="50">
        <v>341</v>
      </c>
      <c r="R363" s="50">
        <f t="shared" si="15"/>
        <v>3411.3916911662659</v>
      </c>
      <c r="T363" s="64">
        <f t="shared" si="14"/>
        <v>2581968.2242729538</v>
      </c>
    </row>
    <row r="364" spans="17:20" x14ac:dyDescent="0.35">
      <c r="Q364" s="50">
        <v>342</v>
      </c>
      <c r="R364" s="50">
        <f t="shared" si="15"/>
        <v>3411.3916911662659</v>
      </c>
      <c r="T364" s="64">
        <f t="shared" si="14"/>
        <v>2602615.4800705477</v>
      </c>
    </row>
    <row r="365" spans="17:20" x14ac:dyDescent="0.35">
      <c r="Q365" s="50">
        <v>343</v>
      </c>
      <c r="R365" s="50">
        <f t="shared" si="15"/>
        <v>3411.3916911662659</v>
      </c>
      <c r="T365" s="64">
        <f t="shared" si="14"/>
        <v>2623400.3842401253</v>
      </c>
    </row>
    <row r="366" spans="17:20" x14ac:dyDescent="0.35">
      <c r="Q366" s="50">
        <v>344</v>
      </c>
      <c r="R366" s="50">
        <f t="shared" si="15"/>
        <v>3411.3916911662659</v>
      </c>
      <c r="T366" s="64">
        <f t="shared" si="14"/>
        <v>2644323.8544375002</v>
      </c>
    </row>
    <row r="367" spans="17:20" x14ac:dyDescent="0.35">
      <c r="Q367" s="50">
        <v>345</v>
      </c>
      <c r="R367" s="50">
        <f t="shared" si="15"/>
        <v>3411.3916911662659</v>
      </c>
      <c r="T367" s="64">
        <f t="shared" si="14"/>
        <v>2665386.8144361908</v>
      </c>
    </row>
    <row r="368" spans="17:20" x14ac:dyDescent="0.35">
      <c r="Q368" s="50">
        <v>346</v>
      </c>
      <c r="R368" s="50">
        <f t="shared" si="15"/>
        <v>3411.3916911662659</v>
      </c>
      <c r="T368" s="64">
        <f t="shared" si="14"/>
        <v>2686590.1941682058</v>
      </c>
    </row>
    <row r="369" spans="17:20" x14ac:dyDescent="0.35">
      <c r="Q369" s="50">
        <v>347</v>
      </c>
      <c r="R369" s="50">
        <f t="shared" si="15"/>
        <v>3411.3916911662659</v>
      </c>
      <c r="T369" s="64">
        <f t="shared" si="14"/>
        <v>2707934.9297651011</v>
      </c>
    </row>
    <row r="370" spans="17:20" x14ac:dyDescent="0.35">
      <c r="Q370" s="50">
        <v>348</v>
      </c>
      <c r="R370" s="50">
        <f t="shared" si="15"/>
        <v>3411.3916911662659</v>
      </c>
      <c r="T370" s="64">
        <f t="shared" si="14"/>
        <v>2729421.9635993093</v>
      </c>
    </row>
    <row r="371" spans="17:20" x14ac:dyDescent="0.35">
      <c r="Q371" s="50">
        <v>349</v>
      </c>
      <c r="R371" s="50">
        <f t="shared" si="15"/>
        <v>3513.7334419012541</v>
      </c>
      <c r="T371" s="64">
        <f t="shared" si="14"/>
        <v>2751155.2683548187</v>
      </c>
    </row>
    <row r="372" spans="17:20" x14ac:dyDescent="0.35">
      <c r="Q372" s="50">
        <v>350</v>
      </c>
      <c r="R372" s="50">
        <f t="shared" si="15"/>
        <v>3513.7334419012541</v>
      </c>
      <c r="T372" s="64">
        <f t="shared" si="14"/>
        <v>2773033.4618086983</v>
      </c>
    </row>
    <row r="373" spans="17:20" x14ac:dyDescent="0.35">
      <c r="Q373" s="50">
        <v>351</v>
      </c>
      <c r="R373" s="50">
        <f t="shared" si="15"/>
        <v>3513.7334419012541</v>
      </c>
      <c r="T373" s="64">
        <f t="shared" si="14"/>
        <v>2795057.5098856036</v>
      </c>
    </row>
    <row r="374" spans="17:20" x14ac:dyDescent="0.35">
      <c r="Q374" s="50">
        <v>352</v>
      </c>
      <c r="R374" s="50">
        <f t="shared" si="15"/>
        <v>3513.7334419012541</v>
      </c>
      <c r="T374" s="64">
        <f t="shared" si="14"/>
        <v>2817228.3849496883</v>
      </c>
    </row>
    <row r="375" spans="17:20" x14ac:dyDescent="0.35">
      <c r="Q375" s="50">
        <v>353</v>
      </c>
      <c r="R375" s="50">
        <f t="shared" si="15"/>
        <v>3513.7334419012541</v>
      </c>
      <c r="T375" s="64">
        <f t="shared" si="14"/>
        <v>2839547.0658475333</v>
      </c>
    </row>
    <row r="376" spans="17:20" x14ac:dyDescent="0.35">
      <c r="Q376" s="50">
        <v>354</v>
      </c>
      <c r="R376" s="50">
        <f t="shared" si="15"/>
        <v>3513.7334419012541</v>
      </c>
      <c r="T376" s="64">
        <f t="shared" si="14"/>
        <v>2862014.5379513642</v>
      </c>
    </row>
    <row r="377" spans="17:20" x14ac:dyDescent="0.35">
      <c r="Q377" s="50">
        <v>355</v>
      </c>
      <c r="R377" s="50">
        <f t="shared" si="15"/>
        <v>3513.7334419012541</v>
      </c>
      <c r="T377" s="64">
        <f t="shared" si="14"/>
        <v>2884631.7932025539</v>
      </c>
    </row>
    <row r="378" spans="17:20" x14ac:dyDescent="0.35">
      <c r="Q378" s="50">
        <v>356</v>
      </c>
      <c r="R378" s="50">
        <f t="shared" si="15"/>
        <v>3513.7334419012541</v>
      </c>
      <c r="T378" s="64">
        <f t="shared" si="14"/>
        <v>2907399.8301554183</v>
      </c>
    </row>
    <row r="379" spans="17:20" x14ac:dyDescent="0.35">
      <c r="Q379" s="50">
        <v>357</v>
      </c>
      <c r="R379" s="50">
        <f t="shared" si="15"/>
        <v>3513.7334419012541</v>
      </c>
      <c r="T379" s="64">
        <f t="shared" si="14"/>
        <v>2930319.6540213018</v>
      </c>
    </row>
    <row r="380" spans="17:20" x14ac:dyDescent="0.35">
      <c r="Q380" s="50">
        <v>358</v>
      </c>
      <c r="R380" s="50">
        <f t="shared" si="15"/>
        <v>3513.7334419012541</v>
      </c>
      <c r="T380" s="64">
        <f t="shared" si="14"/>
        <v>2953392.2767129578</v>
      </c>
    </row>
    <row r="381" spans="17:20" x14ac:dyDescent="0.35">
      <c r="Q381" s="50">
        <v>359</v>
      </c>
      <c r="R381" s="50">
        <f t="shared" si="15"/>
        <v>3513.7334419012541</v>
      </c>
      <c r="T381" s="64">
        <f t="shared" si="14"/>
        <v>2976618.7168892245</v>
      </c>
    </row>
    <row r="382" spans="17:20" x14ac:dyDescent="0.35">
      <c r="Q382" s="50">
        <v>360</v>
      </c>
      <c r="R382" s="50">
        <f t="shared" si="15"/>
        <v>3513.7334419012541</v>
      </c>
      <c r="T382" s="64">
        <f t="shared" si="14"/>
        <v>3000000</v>
      </c>
    </row>
    <row r="383" spans="17:20" x14ac:dyDescent="0.35">
      <c r="Q383" s="50">
        <v>361</v>
      </c>
      <c r="R383" s="50">
        <f t="shared" si="15"/>
        <v>3619.1454451582917</v>
      </c>
      <c r="T383" s="64">
        <f t="shared" si="14"/>
        <v>3023643.2730814591</v>
      </c>
    </row>
    <row r="384" spans="17:20" x14ac:dyDescent="0.35">
      <c r="Q384" s="50">
        <v>362</v>
      </c>
      <c r="R384" s="50">
        <f t="shared" si="15"/>
        <v>3619.1454451582917</v>
      </c>
      <c r="T384" s="64">
        <f t="shared" si="14"/>
        <v>3047444.1679834612</v>
      </c>
    </row>
    <row r="385" spans="17:20" x14ac:dyDescent="0.35">
      <c r="Q385" s="50">
        <v>363</v>
      </c>
      <c r="R385" s="50">
        <f t="shared" si="15"/>
        <v>3619.1454451582917</v>
      </c>
      <c r="T385" s="64">
        <f t="shared" si="14"/>
        <v>3071403.7355181435</v>
      </c>
    </row>
    <row r="386" spans="17:20" x14ac:dyDescent="0.35">
      <c r="Q386" s="50">
        <v>364</v>
      </c>
      <c r="R386" s="50">
        <f t="shared" si="15"/>
        <v>3619.1454451582917</v>
      </c>
      <c r="T386" s="64">
        <f t="shared" si="14"/>
        <v>3095523.033503057</v>
      </c>
    </row>
    <row r="387" spans="17:20" x14ac:dyDescent="0.35">
      <c r="Q387" s="50">
        <v>365</v>
      </c>
      <c r="R387" s="50">
        <f t="shared" si="15"/>
        <v>3619.1454451582917</v>
      </c>
      <c r="T387" s="64">
        <f t="shared" si="14"/>
        <v>3119803.1268078699</v>
      </c>
    </row>
    <row r="388" spans="17:20" x14ac:dyDescent="0.35">
      <c r="Q388" s="50">
        <v>366</v>
      </c>
      <c r="R388" s="50">
        <f t="shared" si="15"/>
        <v>3619.1454451582917</v>
      </c>
      <c r="T388" s="64">
        <f t="shared" si="14"/>
        <v>3144245.0874013812</v>
      </c>
    </row>
    <row r="389" spans="17:20" x14ac:dyDescent="0.35">
      <c r="Q389" s="50">
        <v>367</v>
      </c>
      <c r="R389" s="50">
        <f t="shared" si="15"/>
        <v>3619.1454451582917</v>
      </c>
      <c r="T389" s="64">
        <f t="shared" si="14"/>
        <v>3168849.9943988496</v>
      </c>
    </row>
    <row r="390" spans="17:20" x14ac:dyDescent="0.35">
      <c r="Q390" s="50">
        <v>368</v>
      </c>
      <c r="R390" s="50">
        <f t="shared" si="15"/>
        <v>3619.1454451582917</v>
      </c>
      <c r="T390" s="64">
        <f t="shared" si="14"/>
        <v>3193618.9341096343</v>
      </c>
    </row>
    <row r="391" spans="17:20" x14ac:dyDescent="0.35">
      <c r="Q391" s="50">
        <v>369</v>
      </c>
      <c r="R391" s="50">
        <f t="shared" si="15"/>
        <v>3619.1454451582917</v>
      </c>
      <c r="T391" s="64">
        <f t="shared" si="14"/>
        <v>3218553.0000851573</v>
      </c>
    </row>
    <row r="392" spans="17:20" x14ac:dyDescent="0.35">
      <c r="Q392" s="50">
        <v>370</v>
      </c>
      <c r="R392" s="50">
        <f t="shared" si="15"/>
        <v>3619.1454451582917</v>
      </c>
      <c r="T392" s="64">
        <f t="shared" si="14"/>
        <v>3243653.2931671841</v>
      </c>
    </row>
    <row r="393" spans="17:20" x14ac:dyDescent="0.35">
      <c r="Q393" s="50">
        <v>371</v>
      </c>
      <c r="R393" s="50">
        <f t="shared" si="15"/>
        <v>3619.1454451582917</v>
      </c>
      <c r="T393" s="64">
        <f t="shared" si="14"/>
        <v>3268920.9215364242</v>
      </c>
    </row>
    <row r="394" spans="17:20" x14ac:dyDescent="0.35">
      <c r="Q394" s="50">
        <v>372</v>
      </c>
      <c r="R394" s="50">
        <f t="shared" si="15"/>
        <v>3619.1454451582917</v>
      </c>
      <c r="T394" s="64">
        <f t="shared" si="14"/>
        <v>3294357.0007614596</v>
      </c>
    </row>
    <row r="395" spans="17:20" x14ac:dyDescent="0.35">
      <c r="Q395" s="50">
        <v>373</v>
      </c>
      <c r="R395" s="50">
        <f t="shared" si="15"/>
        <v>3727.7198085130408</v>
      </c>
      <c r="T395" s="64">
        <f t="shared" si="14"/>
        <v>3320071.9520404385</v>
      </c>
    </row>
    <row r="396" spans="17:20" x14ac:dyDescent="0.35">
      <c r="Q396" s="50">
        <v>374</v>
      </c>
      <c r="R396" s="50">
        <f t="shared" si="15"/>
        <v>3727.7198085130408</v>
      </c>
      <c r="T396" s="64">
        <f t="shared" si="14"/>
        <v>3345958.336327944</v>
      </c>
    </row>
    <row r="397" spans="17:20" x14ac:dyDescent="0.35">
      <c r="Q397" s="50">
        <v>375</v>
      </c>
      <c r="R397" s="50">
        <f t="shared" si="15"/>
        <v>3727.7198085130408</v>
      </c>
      <c r="T397" s="64">
        <f t="shared" si="14"/>
        <v>3372017.2965106997</v>
      </c>
    </row>
    <row r="398" spans="17:20" x14ac:dyDescent="0.35">
      <c r="Q398" s="50">
        <v>376</v>
      </c>
      <c r="R398" s="50">
        <f t="shared" si="15"/>
        <v>3727.7198085130408</v>
      </c>
      <c r="T398" s="64">
        <f t="shared" si="14"/>
        <v>3398249.9830946736</v>
      </c>
    </row>
    <row r="399" spans="17:20" x14ac:dyDescent="0.35">
      <c r="Q399" s="50">
        <v>377</v>
      </c>
      <c r="R399" s="50">
        <f t="shared" si="15"/>
        <v>3727.7198085130408</v>
      </c>
      <c r="T399" s="64">
        <f t="shared" si="14"/>
        <v>3424657.5542558739</v>
      </c>
    </row>
    <row r="400" spans="17:20" x14ac:dyDescent="0.35">
      <c r="Q400" s="50">
        <v>378</v>
      </c>
      <c r="R400" s="50">
        <f t="shared" si="15"/>
        <v>3727.7198085130408</v>
      </c>
      <c r="T400" s="64">
        <f t="shared" si="14"/>
        <v>3451241.1758914823</v>
      </c>
    </row>
    <row r="401" spans="17:20" x14ac:dyDescent="0.35">
      <c r="Q401" s="50">
        <v>379</v>
      </c>
      <c r="R401" s="50">
        <f t="shared" si="15"/>
        <v>3727.7198085130408</v>
      </c>
      <c r="T401" s="64">
        <f t="shared" si="14"/>
        <v>3478002.0216713282</v>
      </c>
    </row>
    <row r="402" spans="17:20" x14ac:dyDescent="0.35">
      <c r="Q402" s="50">
        <v>380</v>
      </c>
      <c r="R402" s="50">
        <f t="shared" si="15"/>
        <v>3727.7198085130408</v>
      </c>
      <c r="T402" s="64">
        <f t="shared" si="14"/>
        <v>3504941.2730897064</v>
      </c>
    </row>
    <row r="403" spans="17:20" x14ac:dyDescent="0.35">
      <c r="Q403" s="50">
        <v>381</v>
      </c>
      <c r="R403" s="50">
        <f t="shared" si="15"/>
        <v>3727.7198085130408</v>
      </c>
      <c r="T403" s="64">
        <f t="shared" si="14"/>
        <v>3532060.1195175406</v>
      </c>
    </row>
    <row r="404" spans="17:20" x14ac:dyDescent="0.35">
      <c r="Q404" s="50">
        <v>382</v>
      </c>
      <c r="R404" s="50">
        <f t="shared" si="15"/>
        <v>3727.7198085130408</v>
      </c>
      <c r="T404" s="64">
        <f t="shared" si="14"/>
        <v>3559359.7582548936</v>
      </c>
    </row>
    <row r="405" spans="17:20" x14ac:dyDescent="0.35">
      <c r="Q405" s="50">
        <v>383</v>
      </c>
      <c r="R405" s="50">
        <f t="shared" si="15"/>
        <v>3727.7198085130408</v>
      </c>
      <c r="T405" s="64">
        <f t="shared" si="14"/>
        <v>3586841.3945838287</v>
      </c>
    </row>
    <row r="406" spans="17:20" x14ac:dyDescent="0.35">
      <c r="Q406" s="50">
        <v>384</v>
      </c>
      <c r="R406" s="50">
        <f t="shared" si="15"/>
        <v>3727.7198085130408</v>
      </c>
      <c r="T406" s="64">
        <f t="shared" si="14"/>
        <v>3614506.2418216234</v>
      </c>
    </row>
    <row r="407" spans="17:20" x14ac:dyDescent="0.35">
      <c r="Q407" s="50">
        <v>385</v>
      </c>
      <c r="R407" s="50">
        <f t="shared" si="15"/>
        <v>3839.5514027684321</v>
      </c>
      <c r="T407" s="64">
        <f t="shared" si="14"/>
        <v>3642468.0985125545</v>
      </c>
    </row>
    <row r="408" spans="17:20" x14ac:dyDescent="0.35">
      <c r="Q408" s="50">
        <v>386</v>
      </c>
      <c r="R408" s="50">
        <f t="shared" si="15"/>
        <v>3839.5514027684321</v>
      </c>
      <c r="T408" s="64">
        <f t="shared" si="14"/>
        <v>3670616.3675814252</v>
      </c>
    </row>
    <row r="409" spans="17:20" x14ac:dyDescent="0.35">
      <c r="Q409" s="50">
        <v>387</v>
      </c>
      <c r="R409" s="50">
        <f t="shared" si="15"/>
        <v>3839.5514027684321</v>
      </c>
      <c r="T409" s="64">
        <f t="shared" ref="T409:T472" si="16">(T408+R409)*(1+$T$18)</f>
        <v>3698952.2917774217</v>
      </c>
    </row>
    <row r="410" spans="17:20" x14ac:dyDescent="0.35">
      <c r="Q410" s="50">
        <v>388</v>
      </c>
      <c r="R410" s="50">
        <f t="shared" si="15"/>
        <v>3839.5514027684321</v>
      </c>
      <c r="T410" s="64">
        <f t="shared" si="16"/>
        <v>3727477.1221347246</v>
      </c>
    </row>
    <row r="411" spans="17:20" x14ac:dyDescent="0.35">
      <c r="Q411" s="50">
        <v>389</v>
      </c>
      <c r="R411" s="50">
        <f t="shared" si="15"/>
        <v>3839.5514027684321</v>
      </c>
      <c r="T411" s="64">
        <f t="shared" si="16"/>
        <v>3756192.118027743</v>
      </c>
    </row>
    <row r="412" spans="17:20" x14ac:dyDescent="0.35">
      <c r="Q412" s="50">
        <v>390</v>
      </c>
      <c r="R412" s="50">
        <f t="shared" si="15"/>
        <v>3839.5514027684321</v>
      </c>
      <c r="T412" s="64">
        <f t="shared" si="16"/>
        <v>3785098.5472267149</v>
      </c>
    </row>
    <row r="413" spans="17:20" x14ac:dyDescent="0.35">
      <c r="Q413" s="50">
        <v>391</v>
      </c>
      <c r="R413" s="50">
        <f t="shared" si="15"/>
        <v>3839.5514027684321</v>
      </c>
      <c r="T413" s="64">
        <f t="shared" si="16"/>
        <v>3814197.68595368</v>
      </c>
    </row>
    <row r="414" spans="17:20" x14ac:dyDescent="0.35">
      <c r="Q414" s="50">
        <v>392</v>
      </c>
      <c r="R414" s="50">
        <f t="shared" si="15"/>
        <v>3839.5514027684321</v>
      </c>
      <c r="T414" s="64">
        <f t="shared" si="16"/>
        <v>3843490.8189388248</v>
      </c>
    </row>
    <row r="415" spans="17:20" x14ac:dyDescent="0.35">
      <c r="Q415" s="50">
        <v>393</v>
      </c>
      <c r="R415" s="50">
        <f t="shared" si="15"/>
        <v>3839.5514027684321</v>
      </c>
      <c r="T415" s="64">
        <f t="shared" si="16"/>
        <v>3872979.2394772037</v>
      </c>
    </row>
    <row r="416" spans="17:20" x14ac:dyDescent="0.35">
      <c r="Q416" s="50">
        <v>394</v>
      </c>
      <c r="R416" s="50">
        <f t="shared" si="15"/>
        <v>3839.5514027684321</v>
      </c>
      <c r="T416" s="64">
        <f t="shared" si="16"/>
        <v>3902664.2494858387</v>
      </c>
    </row>
    <row r="417" spans="17:20" x14ac:dyDescent="0.35">
      <c r="Q417" s="50">
        <v>395</v>
      </c>
      <c r="R417" s="50">
        <f t="shared" si="15"/>
        <v>3839.5514027684321</v>
      </c>
      <c r="T417" s="64">
        <f t="shared" si="16"/>
        <v>3932547.1595611977</v>
      </c>
    </row>
    <row r="418" spans="17:20" x14ac:dyDescent="0.35">
      <c r="Q418" s="50">
        <v>396</v>
      </c>
      <c r="R418" s="50">
        <f t="shared" si="15"/>
        <v>3839.5514027684321</v>
      </c>
      <c r="T418" s="64">
        <f t="shared" si="16"/>
        <v>3962629.2890370591</v>
      </c>
    </row>
    <row r="419" spans="17:20" x14ac:dyDescent="0.35">
      <c r="Q419" s="50">
        <v>397</v>
      </c>
      <c r="R419" s="50">
        <f t="shared" si="15"/>
        <v>3954.7379448514853</v>
      </c>
      <c r="T419" s="64">
        <f t="shared" si="16"/>
        <v>3993027.9204951231</v>
      </c>
    </row>
    <row r="420" spans="17:20" x14ac:dyDescent="0.35">
      <c r="Q420" s="50">
        <v>398</v>
      </c>
      <c r="R420" s="50">
        <f t="shared" ref="R420:R483" si="17">R408*(1+$R$18)</f>
        <v>3954.7379448514853</v>
      </c>
      <c r="T420" s="64">
        <f t="shared" si="16"/>
        <v>4023629.2094962411</v>
      </c>
    </row>
    <row r="421" spans="17:20" x14ac:dyDescent="0.35">
      <c r="Q421" s="50">
        <v>399</v>
      </c>
      <c r="R421" s="50">
        <f t="shared" si="17"/>
        <v>3954.7379448514853</v>
      </c>
      <c r="T421" s="64">
        <f t="shared" si="16"/>
        <v>4054434.5070906999</v>
      </c>
    </row>
    <row r="422" spans="17:20" x14ac:dyDescent="0.35">
      <c r="Q422" s="50">
        <v>400</v>
      </c>
      <c r="R422" s="50">
        <f t="shared" si="17"/>
        <v>3954.7379448514853</v>
      </c>
      <c r="T422" s="64">
        <f t="shared" si="16"/>
        <v>4085445.1733357883</v>
      </c>
    </row>
    <row r="423" spans="17:20" x14ac:dyDescent="0.35">
      <c r="Q423" s="50">
        <v>401</v>
      </c>
      <c r="R423" s="50">
        <f t="shared" si="17"/>
        <v>3954.7379448514853</v>
      </c>
      <c r="T423" s="64">
        <f t="shared" si="16"/>
        <v>4116662.577355844</v>
      </c>
    </row>
    <row r="424" spans="17:20" x14ac:dyDescent="0.35">
      <c r="Q424" s="50">
        <v>402</v>
      </c>
      <c r="R424" s="50">
        <f t="shared" si="17"/>
        <v>3954.7379448514853</v>
      </c>
      <c r="T424" s="64">
        <f t="shared" si="16"/>
        <v>4148088.0974026998</v>
      </c>
    </row>
    <row r="425" spans="17:20" x14ac:dyDescent="0.35">
      <c r="Q425" s="50">
        <v>403</v>
      </c>
      <c r="R425" s="50">
        <f t="shared" si="17"/>
        <v>3954.7379448514853</v>
      </c>
      <c r="T425" s="64">
        <f t="shared" si="16"/>
        <v>4179723.1209165347</v>
      </c>
    </row>
    <row r="426" spans="17:20" x14ac:dyDescent="0.35">
      <c r="Q426" s="50">
        <v>404</v>
      </c>
      <c r="R426" s="50">
        <f t="shared" si="17"/>
        <v>3954.7379448514853</v>
      </c>
      <c r="T426" s="64">
        <f t="shared" si="16"/>
        <v>4211569.0445871288</v>
      </c>
    </row>
    <row r="427" spans="17:20" x14ac:dyDescent="0.35">
      <c r="Q427" s="50">
        <v>405</v>
      </c>
      <c r="R427" s="50">
        <f t="shared" si="17"/>
        <v>3954.7379448514853</v>
      </c>
      <c r="T427" s="64">
        <f t="shared" si="16"/>
        <v>4243627.2744155265</v>
      </c>
    </row>
    <row r="428" spans="17:20" x14ac:dyDescent="0.35">
      <c r="Q428" s="50">
        <v>406</v>
      </c>
      <c r="R428" s="50">
        <f t="shared" si="17"/>
        <v>3954.7379448514853</v>
      </c>
      <c r="T428" s="64">
        <f t="shared" si="16"/>
        <v>4275899.2257761136</v>
      </c>
    </row>
    <row r="429" spans="17:20" x14ac:dyDescent="0.35">
      <c r="Q429" s="50">
        <v>407</v>
      </c>
      <c r="R429" s="50">
        <f t="shared" si="17"/>
        <v>3954.7379448514853</v>
      </c>
      <c r="T429" s="64">
        <f t="shared" si="16"/>
        <v>4308386.3234791048</v>
      </c>
    </row>
    <row r="430" spans="17:20" x14ac:dyDescent="0.35">
      <c r="Q430" s="50">
        <v>408</v>
      </c>
      <c r="R430" s="50">
        <f t="shared" si="17"/>
        <v>3954.7379448514853</v>
      </c>
      <c r="T430" s="64">
        <f t="shared" si="16"/>
        <v>4341090.0018334491</v>
      </c>
    </row>
    <row r="431" spans="17:20" x14ac:dyDescent="0.35">
      <c r="Q431" s="50">
        <v>409</v>
      </c>
      <c r="R431" s="50">
        <f t="shared" si="17"/>
        <v>4073.3800831970298</v>
      </c>
      <c r="T431" s="64">
        <f t="shared" si="16"/>
        <v>4374131.13779609</v>
      </c>
    </row>
    <row r="432" spans="17:20" x14ac:dyDescent="0.35">
      <c r="Q432" s="50">
        <v>410</v>
      </c>
      <c r="R432" s="50">
        <f t="shared" si="17"/>
        <v>4073.3800831970298</v>
      </c>
      <c r="T432" s="64">
        <f t="shared" si="16"/>
        <v>4407392.5479984814</v>
      </c>
    </row>
    <row r="433" spans="17:20" x14ac:dyDescent="0.35">
      <c r="Q433" s="50">
        <v>411</v>
      </c>
      <c r="R433" s="50">
        <f t="shared" si="17"/>
        <v>4073.3800831970298</v>
      </c>
      <c r="T433" s="64">
        <f t="shared" si="16"/>
        <v>4440875.7009355556</v>
      </c>
    </row>
    <row r="434" spans="17:20" x14ac:dyDescent="0.35">
      <c r="Q434" s="50">
        <v>412</v>
      </c>
      <c r="R434" s="50">
        <f t="shared" si="17"/>
        <v>4073.3800831970298</v>
      </c>
      <c r="T434" s="64">
        <f t="shared" si="16"/>
        <v>4474582.0748922108</v>
      </c>
    </row>
    <row r="435" spans="17:20" x14ac:dyDescent="0.35">
      <c r="Q435" s="50">
        <v>413</v>
      </c>
      <c r="R435" s="50">
        <f t="shared" si="17"/>
        <v>4073.3800831970298</v>
      </c>
      <c r="T435" s="64">
        <f t="shared" si="16"/>
        <v>4508513.1580085764</v>
      </c>
    </row>
    <row r="436" spans="17:20" x14ac:dyDescent="0.35">
      <c r="Q436" s="50">
        <v>414</v>
      </c>
      <c r="R436" s="50">
        <f t="shared" si="17"/>
        <v>4073.3800831970298</v>
      </c>
      <c r="T436" s="64">
        <f t="shared" si="16"/>
        <v>4542670.448345718</v>
      </c>
    </row>
    <row r="437" spans="17:20" x14ac:dyDescent="0.35">
      <c r="Q437" s="50">
        <v>415</v>
      </c>
      <c r="R437" s="50">
        <f t="shared" si="17"/>
        <v>4073.3800831970298</v>
      </c>
      <c r="T437" s="64">
        <f t="shared" si="16"/>
        <v>4577055.4539517742</v>
      </c>
    </row>
    <row r="438" spans="17:20" x14ac:dyDescent="0.35">
      <c r="Q438" s="50">
        <v>416</v>
      </c>
      <c r="R438" s="50">
        <f t="shared" si="17"/>
        <v>4073.3800831970298</v>
      </c>
      <c r="T438" s="64">
        <f t="shared" si="16"/>
        <v>4611669.6929285368</v>
      </c>
    </row>
    <row r="439" spans="17:20" x14ac:dyDescent="0.35">
      <c r="Q439" s="50">
        <v>417</v>
      </c>
      <c r="R439" s="50">
        <f t="shared" si="17"/>
        <v>4073.3800831970298</v>
      </c>
      <c r="T439" s="64">
        <f t="shared" si="16"/>
        <v>4646514.6934984783</v>
      </c>
    </row>
    <row r="440" spans="17:20" x14ac:dyDescent="0.35">
      <c r="Q440" s="50">
        <v>418</v>
      </c>
      <c r="R440" s="50">
        <f t="shared" si="17"/>
        <v>4073.3800831970298</v>
      </c>
      <c r="T440" s="64">
        <f t="shared" si="16"/>
        <v>4681591.9940722194</v>
      </c>
    </row>
    <row r="441" spans="17:20" x14ac:dyDescent="0.35">
      <c r="Q441" s="50">
        <v>419</v>
      </c>
      <c r="R441" s="50">
        <f t="shared" si="17"/>
        <v>4073.3800831970298</v>
      </c>
      <c r="T441" s="64">
        <f t="shared" si="16"/>
        <v>4716903.1433164524</v>
      </c>
    </row>
    <row r="442" spans="17:20" x14ac:dyDescent="0.35">
      <c r="Q442" s="50">
        <v>420</v>
      </c>
      <c r="R442" s="50">
        <f t="shared" si="17"/>
        <v>4073.3800831970298</v>
      </c>
      <c r="T442" s="64">
        <f t="shared" si="16"/>
        <v>4752449.7002223134</v>
      </c>
    </row>
    <row r="443" spans="17:20" x14ac:dyDescent="0.35">
      <c r="Q443" s="50">
        <v>421</v>
      </c>
      <c r="R443" s="50">
        <f t="shared" si="17"/>
        <v>4195.581485692941</v>
      </c>
      <c r="T443" s="64">
        <f t="shared" si="16"/>
        <v>4788356.2502527265</v>
      </c>
    </row>
    <row r="444" spans="17:20" x14ac:dyDescent="0.35">
      <c r="Q444" s="50">
        <v>422</v>
      </c>
      <c r="R444" s="50">
        <f t="shared" si="17"/>
        <v>4195.581485692941</v>
      </c>
      <c r="T444" s="64">
        <f t="shared" si="16"/>
        <v>4824502.177283342</v>
      </c>
    </row>
    <row r="445" spans="17:20" x14ac:dyDescent="0.35">
      <c r="Q445" s="50">
        <v>423</v>
      </c>
      <c r="R445" s="50">
        <f t="shared" si="17"/>
        <v>4195.581485692941</v>
      </c>
      <c r="T445" s="64">
        <f t="shared" si="16"/>
        <v>4860889.0771608287</v>
      </c>
    </row>
    <row r="446" spans="17:20" x14ac:dyDescent="0.35">
      <c r="Q446" s="50">
        <v>424</v>
      </c>
      <c r="R446" s="50">
        <f t="shared" si="17"/>
        <v>4195.581485692941</v>
      </c>
      <c r="T446" s="64">
        <f t="shared" si="16"/>
        <v>4897518.556370832</v>
      </c>
    </row>
    <row r="447" spans="17:20" x14ac:dyDescent="0.35">
      <c r="Q447" s="50">
        <v>425</v>
      </c>
      <c r="R447" s="50">
        <f t="shared" si="17"/>
        <v>4195.581485692941</v>
      </c>
      <c r="T447" s="64">
        <f t="shared" si="16"/>
        <v>4934392.2321089022</v>
      </c>
    </row>
    <row r="448" spans="17:20" x14ac:dyDescent="0.35">
      <c r="Q448" s="50">
        <v>426</v>
      </c>
      <c r="R448" s="50">
        <f t="shared" si="17"/>
        <v>4195.581485692941</v>
      </c>
      <c r="T448" s="64">
        <f t="shared" si="16"/>
        <v>4971511.7323518926</v>
      </c>
    </row>
    <row r="449" spans="17:20" x14ac:dyDescent="0.35">
      <c r="Q449" s="50">
        <v>427</v>
      </c>
      <c r="R449" s="50">
        <f t="shared" si="17"/>
        <v>4195.581485692941</v>
      </c>
      <c r="T449" s="64">
        <f t="shared" si="16"/>
        <v>5008878.6959298365</v>
      </c>
    </row>
    <row r="450" spans="17:20" x14ac:dyDescent="0.35">
      <c r="Q450" s="50">
        <v>428</v>
      </c>
      <c r="R450" s="50">
        <f t="shared" si="17"/>
        <v>4195.581485692941</v>
      </c>
      <c r="T450" s="64">
        <f t="shared" si="16"/>
        <v>5046494.7725983001</v>
      </c>
    </row>
    <row r="451" spans="17:20" x14ac:dyDescent="0.35">
      <c r="Q451" s="50">
        <v>429</v>
      </c>
      <c r="R451" s="50">
        <f t="shared" si="17"/>
        <v>4195.581485692941</v>
      </c>
      <c r="T451" s="64">
        <f t="shared" si="16"/>
        <v>5084361.6231112201</v>
      </c>
    </row>
    <row r="452" spans="17:20" x14ac:dyDescent="0.35">
      <c r="Q452" s="50">
        <v>430</v>
      </c>
      <c r="R452" s="50">
        <f t="shared" si="17"/>
        <v>4195.581485692941</v>
      </c>
      <c r="T452" s="64">
        <f t="shared" si="16"/>
        <v>5122480.919294226</v>
      </c>
    </row>
    <row r="453" spans="17:20" x14ac:dyDescent="0.35">
      <c r="Q453" s="50">
        <v>431</v>
      </c>
      <c r="R453" s="50">
        <f t="shared" si="17"/>
        <v>4195.581485692941</v>
      </c>
      <c r="T453" s="64">
        <f t="shared" si="16"/>
        <v>5160854.3441184517</v>
      </c>
    </row>
    <row r="454" spans="17:20" x14ac:dyDescent="0.35">
      <c r="Q454" s="50">
        <v>432</v>
      </c>
      <c r="R454" s="50">
        <f t="shared" si="17"/>
        <v>4195.581485692941</v>
      </c>
      <c r="T454" s="64">
        <f t="shared" si="16"/>
        <v>5199483.591774839</v>
      </c>
    </row>
    <row r="455" spans="17:20" x14ac:dyDescent="0.35">
      <c r="Q455" s="50">
        <v>433</v>
      </c>
      <c r="R455" s="50">
        <f t="shared" si="17"/>
        <v>4321.4489302637294</v>
      </c>
      <c r="T455" s="64">
        <f t="shared" si="16"/>
        <v>5238497.0743098026</v>
      </c>
    </row>
    <row r="456" spans="17:20" x14ac:dyDescent="0.35">
      <c r="Q456" s="50">
        <v>434</v>
      </c>
      <c r="R456" s="50">
        <f t="shared" si="17"/>
        <v>4321.4489302637294</v>
      </c>
      <c r="T456" s="64">
        <f t="shared" si="16"/>
        <v>5277770.6467283331</v>
      </c>
    </row>
    <row r="457" spans="17:20" x14ac:dyDescent="0.35">
      <c r="Q457" s="50">
        <v>435</v>
      </c>
      <c r="R457" s="50">
        <f t="shared" si="17"/>
        <v>4321.4489302637294</v>
      </c>
      <c r="T457" s="64">
        <f t="shared" si="16"/>
        <v>5317306.042962987</v>
      </c>
    </row>
    <row r="458" spans="17:20" x14ac:dyDescent="0.35">
      <c r="Q458" s="50">
        <v>436</v>
      </c>
      <c r="R458" s="50">
        <f t="shared" si="17"/>
        <v>4321.4489302637294</v>
      </c>
      <c r="T458" s="64">
        <f t="shared" si="16"/>
        <v>5357105.0085058715</v>
      </c>
    </row>
    <row r="459" spans="17:20" x14ac:dyDescent="0.35">
      <c r="Q459" s="50">
        <v>437</v>
      </c>
      <c r="R459" s="50">
        <f t="shared" si="17"/>
        <v>4321.4489302637294</v>
      </c>
      <c r="T459" s="64">
        <f t="shared" si="16"/>
        <v>5397169.3004857088</v>
      </c>
    </row>
    <row r="460" spans="17:20" x14ac:dyDescent="0.35">
      <c r="Q460" s="50">
        <v>438</v>
      </c>
      <c r="R460" s="50">
        <f t="shared" si="17"/>
        <v>4321.4489302637294</v>
      </c>
      <c r="T460" s="64">
        <f t="shared" si="16"/>
        <v>5437500.6877454119</v>
      </c>
    </row>
    <row r="461" spans="17:20" x14ac:dyDescent="0.35">
      <c r="Q461" s="50">
        <v>439</v>
      </c>
      <c r="R461" s="50">
        <f t="shared" si="17"/>
        <v>4321.4489302637294</v>
      </c>
      <c r="T461" s="64">
        <f t="shared" si="16"/>
        <v>5478100.9509201795</v>
      </c>
    </row>
    <row r="462" spans="17:20" x14ac:dyDescent="0.35">
      <c r="Q462" s="50">
        <v>440</v>
      </c>
      <c r="R462" s="50">
        <f t="shared" si="17"/>
        <v>4321.4489302637294</v>
      </c>
      <c r="T462" s="64">
        <f t="shared" si="16"/>
        <v>5518971.8825161122</v>
      </c>
    </row>
    <row r="463" spans="17:20" x14ac:dyDescent="0.35">
      <c r="Q463" s="50">
        <v>441</v>
      </c>
      <c r="R463" s="50">
        <f t="shared" si="17"/>
        <v>4321.4489302637294</v>
      </c>
      <c r="T463" s="64">
        <f t="shared" si="16"/>
        <v>5560115.2869893508</v>
      </c>
    </row>
    <row r="464" spans="17:20" x14ac:dyDescent="0.35">
      <c r="Q464" s="50">
        <v>442</v>
      </c>
      <c r="R464" s="50">
        <f t="shared" si="17"/>
        <v>4321.4489302637294</v>
      </c>
      <c r="T464" s="64">
        <f t="shared" si="16"/>
        <v>5601532.9808257446</v>
      </c>
    </row>
    <row r="465" spans="17:20" x14ac:dyDescent="0.35">
      <c r="Q465" s="50">
        <v>443</v>
      </c>
      <c r="R465" s="50">
        <f t="shared" si="17"/>
        <v>4321.4489302637294</v>
      </c>
      <c r="T465" s="64">
        <f t="shared" si="16"/>
        <v>5643226.7926210482</v>
      </c>
    </row>
    <row r="466" spans="17:20" x14ac:dyDescent="0.35">
      <c r="Q466" s="50">
        <v>444</v>
      </c>
      <c r="R466" s="50">
        <f t="shared" si="17"/>
        <v>4321.4489302637294</v>
      </c>
      <c r="T466" s="64">
        <f t="shared" si="16"/>
        <v>5685198.5631616535</v>
      </c>
    </row>
    <row r="467" spans="17:20" x14ac:dyDescent="0.35">
      <c r="Q467" s="50">
        <v>445</v>
      </c>
      <c r="R467" s="50">
        <f t="shared" si="17"/>
        <v>4451.0923981716414</v>
      </c>
      <c r="T467" s="64">
        <f t="shared" si="16"/>
        <v>5727580.6532635568</v>
      </c>
    </row>
    <row r="468" spans="17:20" x14ac:dyDescent="0.35">
      <c r="Q468" s="50">
        <v>446</v>
      </c>
      <c r="R468" s="50">
        <f t="shared" si="17"/>
        <v>4451.0923981716414</v>
      </c>
      <c r="T468" s="64">
        <f t="shared" si="16"/>
        <v>5770245.2906328058</v>
      </c>
    </row>
    <row r="469" spans="17:20" x14ac:dyDescent="0.35">
      <c r="Q469" s="50">
        <v>447</v>
      </c>
      <c r="R469" s="50">
        <f t="shared" si="17"/>
        <v>4451.0923981716414</v>
      </c>
      <c r="T469" s="64">
        <f t="shared" si="16"/>
        <v>5813194.3589178501</v>
      </c>
    </row>
    <row r="470" spans="17:20" x14ac:dyDescent="0.35">
      <c r="Q470" s="50">
        <v>448</v>
      </c>
      <c r="R470" s="50">
        <f t="shared" si="17"/>
        <v>4451.0923981716414</v>
      </c>
      <c r="T470" s="64">
        <f t="shared" si="16"/>
        <v>5856429.7543247947</v>
      </c>
    </row>
    <row r="471" spans="17:20" x14ac:dyDescent="0.35">
      <c r="Q471" s="50">
        <v>449</v>
      </c>
      <c r="R471" s="50">
        <f t="shared" si="17"/>
        <v>4451.0923981716414</v>
      </c>
      <c r="T471" s="64">
        <f t="shared" si="16"/>
        <v>5899953.385701119</v>
      </c>
    </row>
    <row r="472" spans="17:20" x14ac:dyDescent="0.35">
      <c r="Q472" s="50">
        <v>450</v>
      </c>
      <c r="R472" s="50">
        <f t="shared" si="17"/>
        <v>4451.0923981716414</v>
      </c>
      <c r="T472" s="64">
        <f t="shared" si="16"/>
        <v>5943767.1746199522</v>
      </c>
    </row>
    <row r="473" spans="17:20" x14ac:dyDescent="0.35">
      <c r="Q473" s="50">
        <v>451</v>
      </c>
      <c r="R473" s="50">
        <f t="shared" si="17"/>
        <v>4451.0923981716414</v>
      </c>
      <c r="T473" s="64">
        <f t="shared" ref="T473:T502" si="18">(T472+R473)*(1+$T$18)</f>
        <v>5987873.0554649103</v>
      </c>
    </row>
    <row r="474" spans="17:20" x14ac:dyDescent="0.35">
      <c r="Q474" s="50">
        <v>452</v>
      </c>
      <c r="R474" s="50">
        <f t="shared" si="17"/>
        <v>4451.0923981716414</v>
      </c>
      <c r="T474" s="64">
        <f t="shared" si="18"/>
        <v>6032272.9755155016</v>
      </c>
    </row>
    <row r="475" spans="17:20" x14ac:dyDescent="0.35">
      <c r="Q475" s="50">
        <v>453</v>
      </c>
      <c r="R475" s="50">
        <f t="shared" si="17"/>
        <v>4451.0923981716414</v>
      </c>
      <c r="T475" s="64">
        <f t="shared" si="18"/>
        <v>6076968.8950330969</v>
      </c>
    </row>
    <row r="476" spans="17:20" x14ac:dyDescent="0.35">
      <c r="Q476" s="50">
        <v>454</v>
      </c>
      <c r="R476" s="50">
        <f t="shared" si="17"/>
        <v>4451.0923981716414</v>
      </c>
      <c r="T476" s="64">
        <f t="shared" si="18"/>
        <v>6121962.787347476</v>
      </c>
    </row>
    <row r="477" spans="17:20" x14ac:dyDescent="0.35">
      <c r="Q477" s="50">
        <v>455</v>
      </c>
      <c r="R477" s="50">
        <f t="shared" si="17"/>
        <v>4451.0923981716414</v>
      </c>
      <c r="T477" s="64">
        <f t="shared" si="18"/>
        <v>6167256.6389439516</v>
      </c>
    </row>
    <row r="478" spans="17:20" x14ac:dyDescent="0.35">
      <c r="Q478" s="50">
        <v>456</v>
      </c>
      <c r="R478" s="50">
        <f t="shared" si="17"/>
        <v>4451.0923981716414</v>
      </c>
      <c r="T478" s="64">
        <f t="shared" si="18"/>
        <v>6212852.4495510701</v>
      </c>
    </row>
    <row r="479" spans="17:20" x14ac:dyDescent="0.35">
      <c r="Q479" s="50">
        <v>457</v>
      </c>
      <c r="R479" s="50">
        <f t="shared" si="17"/>
        <v>4584.6251701167912</v>
      </c>
      <c r="T479" s="64">
        <f t="shared" si="18"/>
        <v>6258886.6552193286</v>
      </c>
    </row>
    <row r="480" spans="17:20" x14ac:dyDescent="0.35">
      <c r="Q480" s="50">
        <v>458</v>
      </c>
      <c r="R480" s="50">
        <f t="shared" si="17"/>
        <v>4584.6251701167912</v>
      </c>
      <c r="T480" s="64">
        <f t="shared" si="18"/>
        <v>6305227.7555920416</v>
      </c>
    </row>
    <row r="481" spans="17:20" x14ac:dyDescent="0.35">
      <c r="Q481" s="50">
        <v>459</v>
      </c>
      <c r="R481" s="50">
        <f t="shared" si="17"/>
        <v>4584.6251701167912</v>
      </c>
      <c r="T481" s="64">
        <f t="shared" si="18"/>
        <v>6351877.7966339057</v>
      </c>
    </row>
    <row r="482" spans="17:20" x14ac:dyDescent="0.35">
      <c r="Q482" s="50">
        <v>460</v>
      </c>
      <c r="R482" s="50">
        <f t="shared" si="17"/>
        <v>4584.6251701167912</v>
      </c>
      <c r="T482" s="64">
        <f t="shared" si="18"/>
        <v>6398838.8379493831</v>
      </c>
    </row>
    <row r="483" spans="17:20" x14ac:dyDescent="0.35">
      <c r="Q483" s="50">
        <v>461</v>
      </c>
      <c r="R483" s="50">
        <f t="shared" si="17"/>
        <v>4584.6251701167912</v>
      </c>
      <c r="T483" s="64">
        <f t="shared" si="18"/>
        <v>6446112.9528736295</v>
      </c>
    </row>
    <row r="484" spans="17:20" x14ac:dyDescent="0.35">
      <c r="Q484" s="50">
        <v>462</v>
      </c>
      <c r="R484" s="50">
        <f t="shared" ref="R484:R502" si="19">R472*(1+$R$18)</f>
        <v>4584.6251701167912</v>
      </c>
      <c r="T484" s="64">
        <f t="shared" si="18"/>
        <v>6493702.2285640379</v>
      </c>
    </row>
    <row r="485" spans="17:20" x14ac:dyDescent="0.35">
      <c r="Q485" s="50">
        <v>463</v>
      </c>
      <c r="R485" s="50">
        <f t="shared" si="19"/>
        <v>4584.6251701167912</v>
      </c>
      <c r="T485" s="64">
        <f t="shared" si="18"/>
        <v>6541608.7660923824</v>
      </c>
    </row>
    <row r="486" spans="17:20" x14ac:dyDescent="0.35">
      <c r="Q486" s="50">
        <v>464</v>
      </c>
      <c r="R486" s="50">
        <f t="shared" si="19"/>
        <v>4584.6251701167912</v>
      </c>
      <c r="T486" s="64">
        <f t="shared" si="18"/>
        <v>6589834.6805375824</v>
      </c>
    </row>
    <row r="487" spans="17:20" x14ac:dyDescent="0.35">
      <c r="Q487" s="50">
        <v>465</v>
      </c>
      <c r="R487" s="50">
        <f t="shared" si="19"/>
        <v>4584.6251701167912</v>
      </c>
      <c r="T487" s="64">
        <f t="shared" si="18"/>
        <v>6638382.101079084</v>
      </c>
    </row>
    <row r="488" spans="17:20" x14ac:dyDescent="0.35">
      <c r="Q488" s="50">
        <v>466</v>
      </c>
      <c r="R488" s="50">
        <f t="shared" si="19"/>
        <v>4584.6251701167912</v>
      </c>
      <c r="T488" s="64">
        <f t="shared" si="18"/>
        <v>6687253.1710908618</v>
      </c>
    </row>
    <row r="489" spans="17:20" x14ac:dyDescent="0.35">
      <c r="Q489" s="50">
        <v>467</v>
      </c>
      <c r="R489" s="50">
        <f t="shared" si="19"/>
        <v>4584.6251701167912</v>
      </c>
      <c r="T489" s="64">
        <f t="shared" si="18"/>
        <v>6736450.0482360516</v>
      </c>
    </row>
    <row r="490" spans="17:20" x14ac:dyDescent="0.35">
      <c r="Q490" s="50">
        <v>468</v>
      </c>
      <c r="R490" s="50">
        <f t="shared" si="19"/>
        <v>4584.6251701167912</v>
      </c>
      <c r="T490" s="64">
        <f t="shared" si="18"/>
        <v>6785974.9045622097</v>
      </c>
    </row>
    <row r="491" spans="17:20" x14ac:dyDescent="0.35">
      <c r="Q491" s="50">
        <v>469</v>
      </c>
      <c r="R491" s="50">
        <f t="shared" si="19"/>
        <v>4722.1639252202949</v>
      </c>
      <c r="T491" s="64">
        <f t="shared" si="18"/>
        <v>6835968.3822773453</v>
      </c>
    </row>
    <row r="492" spans="17:20" x14ac:dyDescent="0.35">
      <c r="Q492" s="50">
        <v>470</v>
      </c>
      <c r="R492" s="50">
        <f t="shared" si="19"/>
        <v>4722.1639252202949</v>
      </c>
      <c r="T492" s="64">
        <f t="shared" si="18"/>
        <v>6886295.1498439154</v>
      </c>
    </row>
    <row r="493" spans="17:20" x14ac:dyDescent="0.35">
      <c r="Q493" s="50">
        <v>471</v>
      </c>
      <c r="R493" s="50">
        <f t="shared" si="19"/>
        <v>4722.1639252202949</v>
      </c>
      <c r="T493" s="64">
        <f t="shared" si="18"/>
        <v>6936957.4291942632</v>
      </c>
    </row>
    <row r="494" spans="17:20" x14ac:dyDescent="0.35">
      <c r="Q494" s="50">
        <v>472</v>
      </c>
      <c r="R494" s="50">
        <f t="shared" si="19"/>
        <v>4722.1639252202949</v>
      </c>
      <c r="T494" s="64">
        <f t="shared" si="18"/>
        <v>6987957.4570736131</v>
      </c>
    </row>
    <row r="495" spans="17:20" x14ac:dyDescent="0.35">
      <c r="Q495" s="50">
        <v>473</v>
      </c>
      <c r="R495" s="50">
        <f t="shared" si="19"/>
        <v>4722.1639252202949</v>
      </c>
      <c r="T495" s="64">
        <f t="shared" si="18"/>
        <v>7039297.4851388251</v>
      </c>
    </row>
    <row r="496" spans="17:20" x14ac:dyDescent="0.35">
      <c r="Q496" s="50">
        <v>474</v>
      </c>
      <c r="R496" s="50">
        <f t="shared" si="19"/>
        <v>4722.1639252202949</v>
      </c>
      <c r="T496" s="64">
        <f t="shared" si="18"/>
        <v>7090979.7800578056</v>
      </c>
    </row>
    <row r="497" spans="17:20" x14ac:dyDescent="0.35">
      <c r="Q497" s="50">
        <v>475</v>
      </c>
      <c r="R497" s="50">
        <f t="shared" si="19"/>
        <v>4722.1639252202949</v>
      </c>
      <c r="T497" s="64">
        <f t="shared" si="18"/>
        <v>7143006.6236095792</v>
      </c>
    </row>
    <row r="498" spans="17:20" x14ac:dyDescent="0.35">
      <c r="Q498" s="50">
        <v>476</v>
      </c>
      <c r="R498" s="50">
        <f t="shared" si="19"/>
        <v>4722.1639252202949</v>
      </c>
      <c r="T498" s="64">
        <f t="shared" si="18"/>
        <v>7195380.3127850313</v>
      </c>
    </row>
    <row r="499" spans="17:20" x14ac:dyDescent="0.35">
      <c r="Q499" s="50">
        <v>477</v>
      </c>
      <c r="R499" s="50">
        <f t="shared" si="19"/>
        <v>4722.1639252202949</v>
      </c>
      <c r="T499" s="64">
        <f t="shared" si="18"/>
        <v>7248103.1598883197</v>
      </c>
    </row>
    <row r="500" spans="17:20" x14ac:dyDescent="0.35">
      <c r="Q500" s="50">
        <v>478</v>
      </c>
      <c r="R500" s="50">
        <f t="shared" si="19"/>
        <v>4722.1639252202949</v>
      </c>
      <c r="T500" s="64">
        <f t="shared" si="18"/>
        <v>7301177.4926389633</v>
      </c>
    </row>
    <row r="501" spans="17:20" x14ac:dyDescent="0.35">
      <c r="Q501" s="50">
        <v>479</v>
      </c>
      <c r="R501" s="50">
        <f t="shared" si="19"/>
        <v>4722.1639252202949</v>
      </c>
      <c r="T501" s="64">
        <f t="shared" si="18"/>
        <v>7354605.6542746108</v>
      </c>
    </row>
    <row r="502" spans="17:20" x14ac:dyDescent="0.35">
      <c r="Q502" s="50">
        <v>480</v>
      </c>
      <c r="R502" s="50">
        <f t="shared" si="19"/>
        <v>4722.1639252202949</v>
      </c>
      <c r="T502" s="64">
        <f t="shared" si="18"/>
        <v>7408390.0036544958</v>
      </c>
    </row>
  </sheetData>
  <mergeCells count="28">
    <mergeCell ref="F91:H91"/>
    <mergeCell ref="F92:H92"/>
    <mergeCell ref="F87:H87"/>
    <mergeCell ref="F88:H88"/>
    <mergeCell ref="D64:F64"/>
    <mergeCell ref="H64:J64"/>
    <mergeCell ref="D65:F65"/>
    <mergeCell ref="H65:J65"/>
    <mergeCell ref="F74:H74"/>
    <mergeCell ref="F75:H75"/>
    <mergeCell ref="F76:H76"/>
    <mergeCell ref="F77:H77"/>
    <mergeCell ref="F89:H89"/>
    <mergeCell ref="F90:H90"/>
    <mergeCell ref="A1:J1"/>
    <mergeCell ref="D63:F63"/>
    <mergeCell ref="H63:J63"/>
    <mergeCell ref="F2:I2"/>
    <mergeCell ref="F15:I15"/>
    <mergeCell ref="F16:I16"/>
    <mergeCell ref="A51:J51"/>
    <mergeCell ref="F54:I54"/>
    <mergeCell ref="F56:I56"/>
    <mergeCell ref="F57:I57"/>
    <mergeCell ref="F58:I58"/>
    <mergeCell ref="D62:F62"/>
    <mergeCell ref="H62:J62"/>
    <mergeCell ref="F59:I59"/>
  </mergeCells>
  <printOptions horizontalCentered="1"/>
  <pageMargins left="0.5" right="0.5" top="0.34" bottom="0.38" header="0.25" footer="0.25"/>
  <pageSetup scale="83" fitToHeight="3" orientation="portrait" horizontalDpi="4294967293" verticalDpi="4294967293" r:id="rId1"/>
  <headerFooter alignWithMargins="0"/>
  <rowBreaks count="1" manualBreakCount="1">
    <brk id="4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7E3E-8741-4D30-A31C-8FD3B494422F}">
  <sheetPr codeName="Sheet1"/>
  <dimension ref="A1:E8"/>
  <sheetViews>
    <sheetView showGridLines="0" zoomScale="90" zoomScaleNormal="90" zoomScaleSheetLayoutView="100" workbookViewId="0">
      <selection activeCell="G2" sqref="G2"/>
    </sheetView>
  </sheetViews>
  <sheetFormatPr defaultRowHeight="18.5" x14ac:dyDescent="0.45"/>
  <cols>
    <col min="1" max="1" width="30.7265625" style="78" customWidth="1"/>
    <col min="2" max="4" width="29.6328125" style="78" customWidth="1"/>
    <col min="5" max="5" width="17.36328125" style="78" customWidth="1"/>
    <col min="6" max="16384" width="8.7265625" style="78"/>
  </cols>
  <sheetData>
    <row r="1" spans="1:5" ht="19" thickTop="1" x14ac:dyDescent="0.45">
      <c r="A1" s="246" t="s">
        <v>387</v>
      </c>
      <c r="B1" s="246" t="s">
        <v>388</v>
      </c>
      <c r="C1" s="246" t="s">
        <v>389</v>
      </c>
      <c r="D1" s="246" t="s">
        <v>390</v>
      </c>
      <c r="E1" s="243"/>
    </row>
    <row r="2" spans="1:5" ht="200" customHeight="1" thickBot="1" x14ac:dyDescent="0.5">
      <c r="A2" s="245"/>
      <c r="B2" s="245"/>
      <c r="C2" s="245"/>
      <c r="D2" s="245"/>
      <c r="E2" s="243"/>
    </row>
    <row r="3" spans="1:5" ht="25" customHeight="1" thickTop="1" x14ac:dyDescent="0.45">
      <c r="A3" s="390" t="s">
        <v>395</v>
      </c>
      <c r="B3" s="243"/>
      <c r="C3" s="393" t="s">
        <v>396</v>
      </c>
      <c r="D3" s="393"/>
      <c r="E3" s="243"/>
    </row>
    <row r="4" spans="1:5" ht="18.5" customHeight="1" x14ac:dyDescent="0.45">
      <c r="A4" s="391"/>
      <c r="B4" s="243"/>
      <c r="C4" s="394"/>
      <c r="D4" s="394"/>
      <c r="E4" s="244"/>
    </row>
    <row r="5" spans="1:5" ht="19" thickBot="1" x14ac:dyDescent="0.5">
      <c r="A5" s="392"/>
      <c r="B5" s="243"/>
      <c r="C5" s="395"/>
      <c r="D5" s="395"/>
      <c r="E5" s="243"/>
    </row>
    <row r="6" spans="1:5" ht="19" thickTop="1" x14ac:dyDescent="0.45">
      <c r="A6" s="246" t="s">
        <v>391</v>
      </c>
      <c r="B6" s="246" t="s">
        <v>392</v>
      </c>
      <c r="C6" s="246" t="s">
        <v>393</v>
      </c>
      <c r="D6" s="246" t="s">
        <v>394</v>
      </c>
      <c r="E6" s="243"/>
    </row>
    <row r="7" spans="1:5" ht="200" customHeight="1" thickBot="1" x14ac:dyDescent="0.5">
      <c r="A7" s="245"/>
      <c r="B7" s="245"/>
      <c r="C7" s="245"/>
      <c r="D7" s="245"/>
    </row>
    <row r="8" spans="1:5" ht="19" thickTop="1" x14ac:dyDescent="0.45"/>
  </sheetData>
  <mergeCells count="2">
    <mergeCell ref="A3:A5"/>
    <mergeCell ref="C3:D5"/>
  </mergeCells>
  <pageMargins left="0.7" right="0.7" top="0.75" bottom="0.75" header="0.3" footer="0.3"/>
  <pageSetup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73"/>
  <sheetViews>
    <sheetView showGridLines="0" topLeftCell="A10" zoomScaleNormal="100" workbookViewId="0">
      <selection activeCell="G15" sqref="G15:H15"/>
    </sheetView>
  </sheetViews>
  <sheetFormatPr defaultColWidth="9.1796875" defaultRowHeight="13" x14ac:dyDescent="0.3"/>
  <cols>
    <col min="1" max="1" width="4.453125" style="189" customWidth="1"/>
    <col min="2" max="2" width="5.81640625" style="189" customWidth="1"/>
    <col min="3" max="3" width="53.26953125" style="189" customWidth="1"/>
    <col min="4" max="4" width="6.1796875" style="189" customWidth="1"/>
    <col min="5" max="5" width="10.81640625" style="189" customWidth="1"/>
    <col min="6" max="6" width="1.26953125" style="189" customWidth="1"/>
    <col min="7" max="7" width="6.1796875" style="189" customWidth="1"/>
    <col min="8" max="8" width="7.54296875" style="189" customWidth="1"/>
    <col min="9" max="9" width="8" style="189" hidden="1" customWidth="1"/>
    <col min="10" max="10" width="6.1796875" style="189" hidden="1" customWidth="1"/>
    <col min="11" max="11" width="11.7265625" style="189" bestFit="1" customWidth="1"/>
    <col min="12" max="12" width="9.7265625" style="189" bestFit="1" customWidth="1"/>
    <col min="13" max="16384" width="9.1796875" style="189"/>
  </cols>
  <sheetData>
    <row r="1" spans="1:11" ht="36" customHeight="1" x14ac:dyDescent="0.3">
      <c r="A1" s="398" t="s">
        <v>45</v>
      </c>
      <c r="B1" s="398"/>
      <c r="C1" s="398"/>
      <c r="D1" s="398"/>
      <c r="E1" s="398"/>
      <c r="F1" s="398"/>
      <c r="G1" s="398"/>
      <c r="H1" s="398"/>
      <c r="I1" s="398"/>
      <c r="J1" s="162"/>
      <c r="K1" s="162"/>
    </row>
    <row r="2" spans="1:11" ht="27" customHeight="1" x14ac:dyDescent="0.3">
      <c r="A2" s="399" t="s">
        <v>46</v>
      </c>
      <c r="B2" s="399"/>
      <c r="C2" s="399"/>
      <c r="D2" s="399"/>
      <c r="E2" s="399"/>
      <c r="F2" s="399"/>
      <c r="G2" s="399"/>
      <c r="H2" s="399"/>
      <c r="I2" s="399"/>
      <c r="J2" s="162"/>
      <c r="K2" s="162"/>
    </row>
    <row r="3" spans="1:11" ht="2.25" customHeight="1" x14ac:dyDescent="0.3">
      <c r="C3" s="190"/>
      <c r="D3" s="190"/>
      <c r="E3" s="190"/>
      <c r="F3" s="190"/>
      <c r="G3" s="190"/>
      <c r="H3" s="190"/>
      <c r="I3" s="190"/>
      <c r="J3" s="162"/>
      <c r="K3" s="162"/>
    </row>
    <row r="4" spans="1:11" ht="15" customHeight="1" thickBot="1" x14ac:dyDescent="0.35">
      <c r="C4" s="32" t="s">
        <v>47</v>
      </c>
      <c r="E4" s="234">
        <v>40</v>
      </c>
      <c r="G4" s="33" t="s">
        <v>0</v>
      </c>
      <c r="H4" s="190"/>
      <c r="I4" s="190"/>
      <c r="J4" s="162"/>
      <c r="K4" s="162"/>
    </row>
    <row r="5" spans="1:11" ht="15" customHeight="1" thickBot="1" x14ac:dyDescent="0.35">
      <c r="C5" s="32" t="s">
        <v>48</v>
      </c>
      <c r="E5" s="235">
        <v>30</v>
      </c>
      <c r="G5" s="33" t="s">
        <v>0</v>
      </c>
      <c r="H5" s="190"/>
      <c r="I5" s="190"/>
      <c r="J5" s="162"/>
      <c r="K5" s="162"/>
    </row>
    <row r="6" spans="1:11" ht="6" customHeight="1" x14ac:dyDescent="0.3">
      <c r="C6" s="32"/>
      <c r="E6" s="191"/>
      <c r="F6" s="33"/>
      <c r="G6" s="190"/>
      <c r="H6" s="190"/>
      <c r="I6" s="190"/>
      <c r="J6" s="162"/>
      <c r="K6" s="162"/>
    </row>
    <row r="7" spans="1:11" ht="15" customHeight="1" thickBot="1" x14ac:dyDescent="0.35">
      <c r="C7" s="32" t="s">
        <v>49</v>
      </c>
      <c r="E7" s="236">
        <v>0.03</v>
      </c>
      <c r="F7" s="33"/>
      <c r="G7" s="190"/>
      <c r="H7" s="190"/>
      <c r="I7" s="190"/>
      <c r="J7" s="162"/>
      <c r="K7" s="162"/>
    </row>
    <row r="8" spans="1:11" ht="15" customHeight="1" thickBot="1" x14ac:dyDescent="0.35">
      <c r="C8" s="32" t="s">
        <v>50</v>
      </c>
      <c r="E8" s="237">
        <v>7.0000000000000007E-2</v>
      </c>
      <c r="F8" s="33"/>
      <c r="G8" s="190"/>
      <c r="H8" s="190"/>
      <c r="I8" s="190"/>
      <c r="J8" s="162"/>
      <c r="K8" s="162"/>
    </row>
    <row r="9" spans="1:11" ht="7.5" customHeight="1" x14ac:dyDescent="0.3">
      <c r="C9" s="32"/>
      <c r="D9" s="33"/>
      <c r="E9" s="192"/>
      <c r="F9" s="190"/>
      <c r="G9" s="190"/>
      <c r="H9" s="190"/>
      <c r="I9" s="190"/>
      <c r="J9" s="162"/>
      <c r="K9" s="162"/>
    </row>
    <row r="10" spans="1:11" ht="15" customHeight="1" thickBot="1" x14ac:dyDescent="0.35">
      <c r="C10" s="32" t="s">
        <v>51</v>
      </c>
      <c r="D10" s="33"/>
      <c r="E10" s="236">
        <v>0.03</v>
      </c>
      <c r="F10" s="190"/>
      <c r="G10" s="190"/>
      <c r="H10" s="190"/>
      <c r="I10" s="190"/>
      <c r="J10" s="162"/>
      <c r="K10" s="162"/>
    </row>
    <row r="11" spans="1:11" ht="15" customHeight="1" thickBot="1" x14ac:dyDescent="0.35">
      <c r="C11" s="32" t="s">
        <v>52</v>
      </c>
      <c r="D11" s="33"/>
      <c r="E11" s="237">
        <v>7.0000000000000007E-2</v>
      </c>
      <c r="F11" s="190"/>
      <c r="G11" s="190"/>
      <c r="H11" s="190"/>
      <c r="I11" s="190"/>
      <c r="J11" s="162"/>
      <c r="K11" s="162"/>
    </row>
    <row r="12" spans="1:11" ht="21.75" customHeight="1" thickBot="1" x14ac:dyDescent="0.35">
      <c r="C12" s="193" t="s">
        <v>53</v>
      </c>
      <c r="E12" s="238">
        <v>0</v>
      </c>
      <c r="J12" s="162"/>
      <c r="K12" s="194"/>
    </row>
    <row r="13" spans="1:11" ht="3" customHeight="1" x14ac:dyDescent="0.3">
      <c r="C13" s="193"/>
      <c r="E13" s="195"/>
      <c r="J13" s="162"/>
      <c r="K13" s="194"/>
    </row>
    <row r="14" spans="1:11" ht="5.25" customHeight="1" x14ac:dyDescent="0.3">
      <c r="A14" s="196"/>
      <c r="B14" s="196"/>
      <c r="C14" s="197"/>
      <c r="D14" s="196"/>
      <c r="E14" s="198"/>
      <c r="F14" s="196"/>
      <c r="G14" s="196"/>
      <c r="H14" s="196"/>
      <c r="J14" s="162"/>
      <c r="K14" s="194"/>
    </row>
    <row r="15" spans="1:11" ht="24" customHeight="1" thickBot="1" x14ac:dyDescent="0.4">
      <c r="A15" s="35" t="s">
        <v>54</v>
      </c>
      <c r="B15" s="36"/>
      <c r="C15" s="36"/>
      <c r="G15" s="396">
        <v>75000</v>
      </c>
      <c r="H15" s="396"/>
      <c r="J15" s="397"/>
      <c r="K15" s="397"/>
    </row>
    <row r="16" spans="1:11" ht="24" customHeight="1" x14ac:dyDescent="0.3">
      <c r="A16" s="36"/>
      <c r="B16" s="400" t="s">
        <v>55</v>
      </c>
      <c r="C16" s="400"/>
      <c r="G16" s="37"/>
      <c r="H16" s="37"/>
      <c r="J16" s="162"/>
      <c r="K16" s="39"/>
    </row>
    <row r="17" spans="1:11" ht="3.75" customHeight="1" x14ac:dyDescent="0.3">
      <c r="A17" s="36"/>
      <c r="B17" s="36"/>
      <c r="C17" s="36"/>
      <c r="G17" s="37"/>
      <c r="H17" s="37"/>
      <c r="J17" s="162"/>
      <c r="K17" s="39"/>
    </row>
    <row r="18" spans="1:11" ht="16" thickBot="1" x14ac:dyDescent="0.4">
      <c r="A18" s="35" t="s">
        <v>56</v>
      </c>
      <c r="B18" s="36"/>
      <c r="C18" s="36"/>
      <c r="G18" s="396">
        <v>0</v>
      </c>
      <c r="H18" s="396"/>
      <c r="J18" s="397"/>
      <c r="K18" s="397"/>
    </row>
    <row r="19" spans="1:11" ht="12" hidden="1" customHeight="1" x14ac:dyDescent="0.3">
      <c r="A19" s="36"/>
      <c r="B19" s="400" t="s">
        <v>57</v>
      </c>
      <c r="C19" s="400"/>
      <c r="G19" s="37"/>
      <c r="H19" s="37"/>
      <c r="J19" s="162"/>
      <c r="K19" s="39"/>
    </row>
    <row r="20" spans="1:11" ht="4.5" customHeight="1" x14ac:dyDescent="0.3">
      <c r="A20" s="36"/>
      <c r="B20" s="36"/>
      <c r="C20" s="36"/>
      <c r="G20" s="37"/>
      <c r="H20" s="37"/>
      <c r="J20" s="162"/>
      <c r="K20" s="39"/>
    </row>
    <row r="21" spans="1:11" ht="16" hidden="1" thickBot="1" x14ac:dyDescent="0.4">
      <c r="A21" s="35" t="s">
        <v>58</v>
      </c>
      <c r="B21" s="36"/>
      <c r="C21" s="36"/>
      <c r="G21" s="401">
        <v>0</v>
      </c>
      <c r="H21" s="401"/>
      <c r="J21" s="397"/>
      <c r="K21" s="397"/>
    </row>
    <row r="22" spans="1:11" ht="24" hidden="1" customHeight="1" x14ac:dyDescent="0.3">
      <c r="A22" s="36"/>
      <c r="B22" s="400" t="s">
        <v>59</v>
      </c>
      <c r="C22" s="400"/>
      <c r="G22" s="37"/>
      <c r="H22" s="37"/>
      <c r="J22" s="162"/>
      <c r="K22" s="39"/>
    </row>
    <row r="23" spans="1:11" ht="3.75" customHeight="1" x14ac:dyDescent="0.3">
      <c r="A23" s="36"/>
      <c r="B23" s="36"/>
      <c r="C23" s="36"/>
      <c r="G23" s="37"/>
      <c r="H23" s="37"/>
      <c r="J23" s="162"/>
      <c r="K23" s="39"/>
    </row>
    <row r="24" spans="1:11" ht="16" thickBot="1" x14ac:dyDescent="0.4">
      <c r="A24" s="35" t="s">
        <v>76</v>
      </c>
      <c r="B24" s="162"/>
      <c r="C24" s="162"/>
      <c r="G24" s="396">
        <v>0</v>
      </c>
      <c r="H24" s="396"/>
      <c r="J24" s="397"/>
      <c r="K24" s="397"/>
    </row>
    <row r="25" spans="1:11" ht="13.5" customHeight="1" x14ac:dyDescent="0.3">
      <c r="A25" s="36"/>
      <c r="B25" s="400" t="s">
        <v>267</v>
      </c>
      <c r="C25" s="400"/>
      <c r="G25" s="37"/>
      <c r="H25" s="37"/>
      <c r="J25" s="162"/>
      <c r="K25" s="39"/>
    </row>
    <row r="26" spans="1:11" ht="3" customHeight="1" x14ac:dyDescent="0.3">
      <c r="A26" s="36"/>
      <c r="B26" s="36"/>
      <c r="C26" s="36"/>
      <c r="G26" s="37"/>
      <c r="H26" s="37"/>
      <c r="J26" s="162"/>
      <c r="K26" s="39"/>
    </row>
    <row r="27" spans="1:11" ht="16" thickBot="1" x14ac:dyDescent="0.4">
      <c r="A27" s="35" t="s">
        <v>77</v>
      </c>
      <c r="B27" s="36"/>
      <c r="C27" s="36"/>
      <c r="G27" s="402">
        <f>G15-G18-G21-G24</f>
        <v>75000</v>
      </c>
      <c r="H27" s="402"/>
      <c r="J27" s="397"/>
      <c r="K27" s="397"/>
    </row>
    <row r="28" spans="1:11" ht="12" customHeight="1" x14ac:dyDescent="0.3">
      <c r="A28" s="36"/>
      <c r="B28" s="400" t="s">
        <v>78</v>
      </c>
      <c r="C28" s="400"/>
      <c r="G28" s="37"/>
      <c r="H28" s="37"/>
      <c r="J28" s="162"/>
      <c r="K28" s="39"/>
    </row>
    <row r="29" spans="1:11" ht="3" customHeight="1" x14ac:dyDescent="0.3">
      <c r="G29" s="37"/>
      <c r="H29" s="37"/>
      <c r="J29" s="162"/>
      <c r="K29" s="162"/>
    </row>
    <row r="30" spans="1:11" ht="16" thickBot="1" x14ac:dyDescent="0.4">
      <c r="A30" s="35" t="s">
        <v>79</v>
      </c>
      <c r="B30" s="36"/>
      <c r="C30" s="36"/>
      <c r="G30" s="402">
        <f>FV(E7,E4,,-G27)</f>
        <v>244652.83439993041</v>
      </c>
      <c r="H30" s="402"/>
      <c r="J30" s="397"/>
      <c r="K30" s="397"/>
    </row>
    <row r="31" spans="1:11" ht="9" customHeight="1" x14ac:dyDescent="0.3">
      <c r="A31" s="36" t="s">
        <v>60</v>
      </c>
      <c r="B31" s="400"/>
      <c r="C31" s="400"/>
      <c r="G31" s="38"/>
      <c r="H31" s="38"/>
      <c r="J31" s="162"/>
      <c r="K31" s="39"/>
    </row>
    <row r="32" spans="1:11" ht="3" hidden="1" customHeight="1" x14ac:dyDescent="0.3">
      <c r="A32" s="162"/>
      <c r="B32" s="162"/>
      <c r="C32" s="162"/>
      <c r="G32" s="37"/>
      <c r="H32" s="37"/>
      <c r="J32" s="162"/>
      <c r="K32" s="162"/>
    </row>
    <row r="33" spans="1:11" ht="16" thickBot="1" x14ac:dyDescent="0.4">
      <c r="A33" s="35" t="s">
        <v>80</v>
      </c>
      <c r="B33" s="36"/>
      <c r="C33" s="36"/>
      <c r="G33" s="402">
        <f>PV((E11-E10)/(1+E10),E5,-G30,-PV(E7,E5,,-E12),1)</f>
        <v>4457679.5587282712</v>
      </c>
      <c r="H33" s="402"/>
      <c r="J33" s="397"/>
      <c r="K33" s="397"/>
    </row>
    <row r="34" spans="1:11" ht="11.25" customHeight="1" x14ac:dyDescent="0.3">
      <c r="A34" s="36"/>
      <c r="B34" s="400"/>
      <c r="C34" s="400"/>
      <c r="G34" s="38"/>
      <c r="H34" s="38"/>
      <c r="J34" s="162"/>
      <c r="K34" s="36"/>
    </row>
    <row r="35" spans="1:11" ht="2.25" hidden="1" customHeight="1" x14ac:dyDescent="0.3">
      <c r="A35" s="162"/>
      <c r="B35" s="162"/>
      <c r="C35" s="162"/>
      <c r="G35" s="37"/>
      <c r="H35" s="37"/>
      <c r="J35" s="162"/>
      <c r="K35" s="162"/>
    </row>
    <row r="36" spans="1:11" ht="16.5" customHeight="1" thickBot="1" x14ac:dyDescent="0.4">
      <c r="A36" s="35" t="s">
        <v>81</v>
      </c>
      <c r="C36" s="40"/>
      <c r="D36" s="40"/>
      <c r="G36" s="396">
        <v>0</v>
      </c>
      <c r="H36" s="396"/>
      <c r="J36" s="397"/>
      <c r="K36" s="397"/>
    </row>
    <row r="37" spans="1:11" ht="36.75" customHeight="1" x14ac:dyDescent="0.3">
      <c r="A37" s="162"/>
      <c r="B37" s="364" t="s">
        <v>263</v>
      </c>
      <c r="C37" s="364"/>
      <c r="D37" s="364"/>
      <c r="E37" s="41"/>
      <c r="G37" s="199"/>
      <c r="H37" s="199"/>
      <c r="J37" s="162"/>
      <c r="K37" s="39"/>
    </row>
    <row r="38" spans="1:11" ht="7.5" customHeight="1" x14ac:dyDescent="0.3">
      <c r="A38" s="162"/>
      <c r="B38" s="127"/>
      <c r="C38" s="127"/>
      <c r="G38" s="37"/>
      <c r="H38" s="37"/>
      <c r="J38" s="162"/>
      <c r="K38" s="39"/>
    </row>
    <row r="39" spans="1:11" ht="15.75" customHeight="1" thickBot="1" x14ac:dyDescent="0.4">
      <c r="A39" s="35" t="s">
        <v>82</v>
      </c>
      <c r="B39" s="36"/>
      <c r="C39" s="36"/>
      <c r="G39" s="402">
        <f>FV(E8,E4,,-G36,1)</f>
        <v>0</v>
      </c>
      <c r="H39" s="402"/>
      <c r="J39" s="162"/>
      <c r="K39" s="39"/>
    </row>
    <row r="40" spans="1:11" ht="12" customHeight="1" x14ac:dyDescent="0.3">
      <c r="A40" s="36"/>
      <c r="B40" s="400"/>
      <c r="C40" s="400"/>
      <c r="G40" s="42"/>
      <c r="H40" s="42"/>
      <c r="J40" s="162"/>
      <c r="K40" s="39"/>
    </row>
    <row r="41" spans="1:11" ht="6" customHeight="1" x14ac:dyDescent="0.3">
      <c r="A41" s="36"/>
      <c r="B41" s="36"/>
      <c r="C41" s="36"/>
      <c r="G41" s="37"/>
      <c r="H41" s="37"/>
      <c r="J41" s="162"/>
      <c r="K41" s="39"/>
    </row>
    <row r="42" spans="1:11" ht="15.75" customHeight="1" thickBot="1" x14ac:dyDescent="0.4">
      <c r="A42" s="35" t="s">
        <v>83</v>
      </c>
      <c r="B42" s="36"/>
      <c r="C42" s="36"/>
      <c r="G42" s="396">
        <v>0</v>
      </c>
      <c r="H42" s="396"/>
      <c r="J42" s="162"/>
      <c r="K42" s="39"/>
    </row>
    <row r="43" spans="1:11" ht="24" customHeight="1" x14ac:dyDescent="0.3">
      <c r="A43" s="36"/>
      <c r="B43" s="400" t="s">
        <v>75</v>
      </c>
      <c r="C43" s="400"/>
      <c r="G43" s="37"/>
      <c r="H43" s="37"/>
      <c r="J43" s="162"/>
      <c r="K43" s="39"/>
    </row>
    <row r="44" spans="1:11" ht="5.25" customHeight="1" x14ac:dyDescent="0.3">
      <c r="A44" s="36"/>
      <c r="B44" s="36"/>
      <c r="C44" s="36"/>
      <c r="G44" s="37"/>
      <c r="H44" s="37"/>
      <c r="J44" s="162"/>
      <c r="K44" s="39"/>
    </row>
    <row r="45" spans="1:11" ht="16" thickBot="1" x14ac:dyDescent="0.4">
      <c r="A45" s="35" t="s">
        <v>84</v>
      </c>
      <c r="G45" s="402">
        <f>FV(E8,E4,-G42,,1)</f>
        <v>0</v>
      </c>
      <c r="H45" s="402"/>
      <c r="J45" s="397"/>
      <c r="K45" s="397"/>
    </row>
    <row r="46" spans="1:11" ht="7.5" customHeight="1" x14ac:dyDescent="0.3">
      <c r="B46" s="400"/>
      <c r="C46" s="400"/>
      <c r="G46" s="200"/>
      <c r="H46" s="200"/>
      <c r="J46" s="162"/>
      <c r="K46" s="36"/>
    </row>
    <row r="47" spans="1:11" ht="9" customHeight="1" x14ac:dyDescent="0.3">
      <c r="A47" s="162"/>
      <c r="B47" s="162"/>
      <c r="C47" s="162"/>
      <c r="G47" s="42"/>
      <c r="H47" s="42"/>
      <c r="J47" s="162"/>
      <c r="K47" s="162"/>
    </row>
    <row r="48" spans="1:11" ht="16" thickBot="1" x14ac:dyDescent="0.4">
      <c r="A48" s="35" t="s">
        <v>85</v>
      </c>
      <c r="B48" s="36"/>
      <c r="C48" s="36"/>
      <c r="G48" s="402">
        <f>G33-G39-G45</f>
        <v>4457679.5587282712</v>
      </c>
      <c r="H48" s="402"/>
      <c r="J48" s="397"/>
      <c r="K48" s="397"/>
    </row>
    <row r="49" spans="1:12" ht="14" x14ac:dyDescent="0.3">
      <c r="A49" s="36"/>
      <c r="B49" s="400" t="s">
        <v>86</v>
      </c>
      <c r="C49" s="400"/>
      <c r="G49" s="42"/>
      <c r="H49" s="42"/>
      <c r="J49" s="162"/>
      <c r="K49" s="43"/>
    </row>
    <row r="50" spans="1:12" ht="5.25" customHeight="1" x14ac:dyDescent="0.3">
      <c r="A50" s="44"/>
      <c r="B50" s="44"/>
      <c r="C50" s="44"/>
      <c r="D50" s="196"/>
      <c r="E50" s="196"/>
      <c r="F50" s="196"/>
      <c r="G50" s="45"/>
      <c r="H50" s="45"/>
      <c r="J50" s="162"/>
      <c r="K50" s="36"/>
    </row>
    <row r="51" spans="1:12" ht="19.5" customHeight="1" thickBot="1" x14ac:dyDescent="0.4">
      <c r="A51" s="35" t="s">
        <v>61</v>
      </c>
      <c r="B51" s="36"/>
      <c r="C51" s="36"/>
      <c r="G51" s="403">
        <f>IF(G48&lt;=0,"Congrats!",-PMT(E8,E4,0,G48,1))</f>
        <v>20868.351367966214</v>
      </c>
      <c r="H51" s="403"/>
      <c r="I51" s="201"/>
      <c r="L51" s="202"/>
    </row>
    <row r="52" spans="1:12" ht="18.75" customHeight="1" thickBot="1" x14ac:dyDescent="0.4">
      <c r="A52" s="35" t="s">
        <v>62</v>
      </c>
      <c r="B52" s="36"/>
      <c r="C52" s="36"/>
      <c r="G52" s="405">
        <f>IF(G48&lt;=0,"Congrats!",ROUND(-PMT(E8/12,E4*12,,G48,1),0))</f>
        <v>1688</v>
      </c>
      <c r="H52" s="405"/>
      <c r="J52" s="162"/>
      <c r="K52" s="43"/>
      <c r="L52" s="201"/>
    </row>
    <row r="53" spans="1:12" ht="2.25" customHeight="1" x14ac:dyDescent="0.35">
      <c r="A53" s="35"/>
      <c r="B53" s="36"/>
      <c r="C53" s="36"/>
      <c r="G53" s="46"/>
      <c r="H53" s="46"/>
      <c r="J53" s="162"/>
      <c r="K53" s="43"/>
    </row>
    <row r="54" spans="1:12" ht="5.25" customHeight="1" x14ac:dyDescent="0.3">
      <c r="A54" s="196"/>
      <c r="B54" s="196"/>
      <c r="C54" s="196"/>
      <c r="D54" s="196"/>
      <c r="E54" s="196"/>
      <c r="F54" s="196"/>
      <c r="G54" s="47"/>
      <c r="H54" s="47"/>
      <c r="J54" s="162"/>
      <c r="K54" s="162"/>
    </row>
    <row r="55" spans="1:12" hidden="1" x14ac:dyDescent="0.3">
      <c r="B55" s="203" t="s">
        <v>63</v>
      </c>
      <c r="C55" s="204">
        <v>2</v>
      </c>
      <c r="D55" s="204">
        <v>16</v>
      </c>
      <c r="E55" s="204">
        <v>18</v>
      </c>
      <c r="F55" s="204">
        <v>25</v>
      </c>
      <c r="G55" s="204">
        <v>30</v>
      </c>
      <c r="H55" s="204">
        <v>35</v>
      </c>
      <c r="I55" s="205">
        <v>40</v>
      </c>
    </row>
    <row r="56" spans="1:12" hidden="1" x14ac:dyDescent="0.3">
      <c r="A56" s="206">
        <f>E7</f>
        <v>0.03</v>
      </c>
      <c r="B56" s="207" t="s">
        <v>64</v>
      </c>
      <c r="C56" s="208">
        <f>(1+$A56)^C$55</f>
        <v>1.0609</v>
      </c>
      <c r="D56" s="209">
        <f t="shared" ref="D56:I56" si="0">(1+$A56)^D55</f>
        <v>1.6047064390987871</v>
      </c>
      <c r="E56" s="209">
        <f t="shared" si="0"/>
        <v>1.7024330612399032</v>
      </c>
      <c r="F56" s="209">
        <f t="shared" si="0"/>
        <v>2.0937779296542138</v>
      </c>
      <c r="G56" s="209">
        <f t="shared" si="0"/>
        <v>2.4272624711896591</v>
      </c>
      <c r="H56" s="210">
        <f t="shared" si="0"/>
        <v>2.8138624543715225</v>
      </c>
      <c r="I56" s="211">
        <f t="shared" si="0"/>
        <v>3.262037791999072</v>
      </c>
    </row>
    <row r="57" spans="1:12" hidden="1" x14ac:dyDescent="0.3">
      <c r="A57" s="206">
        <f>E8</f>
        <v>7.0000000000000007E-2</v>
      </c>
      <c r="B57" s="212" t="s">
        <v>65</v>
      </c>
      <c r="C57" s="213">
        <f>(1+$A57)^C$55</f>
        <v>1.1449</v>
      </c>
      <c r="D57" s="214">
        <f t="shared" ref="D57:I57" si="1">(1+$A57)^D$55</f>
        <v>2.9521637485654075</v>
      </c>
      <c r="E57" s="214">
        <f t="shared" si="1"/>
        <v>3.3799322757325352</v>
      </c>
      <c r="F57" s="214">
        <f t="shared" si="1"/>
        <v>5.4274326401228912</v>
      </c>
      <c r="G57" s="214">
        <f t="shared" si="1"/>
        <v>7.6122550426620306</v>
      </c>
      <c r="H57" s="214">
        <f t="shared" si="1"/>
        <v>10.676581484615435</v>
      </c>
      <c r="I57" s="215">
        <f t="shared" si="1"/>
        <v>14.974457839206954</v>
      </c>
    </row>
    <row r="58" spans="1:12" hidden="1" x14ac:dyDescent="0.3">
      <c r="B58" s="212" t="s">
        <v>66</v>
      </c>
      <c r="C58" s="213">
        <f>-FV($A57,C55,1,0,1)</f>
        <v>2.2149000000000005</v>
      </c>
      <c r="D58" s="214">
        <f t="shared" ref="D58:I58" si="2">-FV($A57,D55,1,0,1)</f>
        <v>29.840217299499798</v>
      </c>
      <c r="E58" s="214">
        <f t="shared" si="2"/>
        <v>36.378964786197322</v>
      </c>
      <c r="F58" s="216">
        <f t="shared" si="2"/>
        <v>67.676470356164188</v>
      </c>
      <c r="G58" s="216">
        <f t="shared" si="2"/>
        <v>101.07304136640532</v>
      </c>
      <c r="H58" s="216">
        <f t="shared" si="2"/>
        <v>147.91345983626448</v>
      </c>
      <c r="I58" s="217">
        <f t="shared" si="2"/>
        <v>213.60956982787772</v>
      </c>
    </row>
    <row r="59" spans="1:12" ht="13.5" hidden="1" thickBot="1" x14ac:dyDescent="0.35">
      <c r="B59" s="218" t="s">
        <v>67</v>
      </c>
      <c r="C59" s="48">
        <f t="shared" ref="C59:I59" si="3">$A$57/(((1+$A$57)^C55-1)*(1+$A$57))</f>
        <v>0.45148765181272282</v>
      </c>
      <c r="D59" s="48">
        <f t="shared" si="3"/>
        <v>3.3511820304899811E-2</v>
      </c>
      <c r="E59" s="48">
        <f t="shared" si="3"/>
        <v>2.7488412764824291E-2</v>
      </c>
      <c r="F59" s="48">
        <f t="shared" si="3"/>
        <v>1.4776184318379081E-2</v>
      </c>
      <c r="G59" s="48">
        <f t="shared" si="3"/>
        <v>9.8938350571132639E-3</v>
      </c>
      <c r="H59" s="48">
        <f t="shared" si="3"/>
        <v>6.7607099523394843E-3</v>
      </c>
      <c r="I59" s="49">
        <f t="shared" si="3"/>
        <v>4.6814381996358118E-3</v>
      </c>
    </row>
    <row r="60" spans="1:12" hidden="1" x14ac:dyDescent="0.3"/>
    <row r="61" spans="1:12" hidden="1" x14ac:dyDescent="0.3">
      <c r="B61" s="203" t="s">
        <v>68</v>
      </c>
      <c r="C61" s="204">
        <v>2</v>
      </c>
      <c r="D61" s="204">
        <v>16</v>
      </c>
      <c r="E61" s="204">
        <v>18</v>
      </c>
      <c r="F61" s="205">
        <v>25</v>
      </c>
      <c r="G61" s="205">
        <v>30</v>
      </c>
      <c r="H61" s="205">
        <v>35</v>
      </c>
      <c r="I61" s="205">
        <v>40</v>
      </c>
    </row>
    <row r="62" spans="1:12" ht="13.5" hidden="1" thickBot="1" x14ac:dyDescent="0.35">
      <c r="A62" s="206">
        <f>(1+E8)/(1+E7)-1</f>
        <v>3.8834951456310662E-2</v>
      </c>
      <c r="B62" s="219" t="s">
        <v>69</v>
      </c>
      <c r="C62" s="220">
        <f t="shared" ref="C62:I62" si="4">((1-(1+$A62)^-C61)/$A62)*(1+$A62)</f>
        <v>1.9626168224299048</v>
      </c>
      <c r="D62" s="220">
        <f t="shared" si="4"/>
        <v>12.209513461354492</v>
      </c>
      <c r="E62" s="220">
        <f t="shared" si="4"/>
        <v>13.276332283300707</v>
      </c>
      <c r="F62" s="220">
        <f t="shared" si="4"/>
        <v>16.430468956132071</v>
      </c>
      <c r="G62" s="221">
        <f t="shared" si="4"/>
        <v>18.220428836076223</v>
      </c>
      <c r="H62" s="220">
        <f t="shared" si="4"/>
        <v>19.699913718833994</v>
      </c>
      <c r="I62" s="220">
        <f t="shared" si="4"/>
        <v>20.922776612485595</v>
      </c>
    </row>
    <row r="63" spans="1:12" hidden="1" x14ac:dyDescent="0.3">
      <c r="B63" s="162"/>
      <c r="C63" s="143"/>
      <c r="D63" s="143"/>
      <c r="E63" s="143"/>
    </row>
    <row r="64" spans="1:12" ht="15.5" hidden="1" x14ac:dyDescent="0.35">
      <c r="B64" s="406" t="s">
        <v>70</v>
      </c>
      <c r="C64" s="407"/>
      <c r="D64" s="407"/>
      <c r="E64" s="407"/>
      <c r="F64" s="407"/>
      <c r="G64" s="408"/>
      <c r="H64" s="222"/>
      <c r="I64" s="222"/>
    </row>
    <row r="65" spans="1:9" hidden="1" x14ac:dyDescent="0.3">
      <c r="B65" s="223"/>
      <c r="C65" s="409" t="s">
        <v>71</v>
      </c>
      <c r="D65" s="409"/>
      <c r="E65" s="409"/>
      <c r="F65" s="409"/>
      <c r="G65" s="410"/>
      <c r="H65" s="224"/>
      <c r="I65" s="224"/>
    </row>
    <row r="66" spans="1:9" ht="12.75" hidden="1" customHeight="1" x14ac:dyDescent="0.3">
      <c r="B66" s="223"/>
      <c r="C66" s="225">
        <v>10000</v>
      </c>
      <c r="D66" s="225"/>
      <c r="E66" s="225">
        <v>50000</v>
      </c>
      <c r="F66" s="411">
        <v>60000</v>
      </c>
      <c r="G66" s="412"/>
      <c r="H66" s="224"/>
      <c r="I66" s="224"/>
    </row>
    <row r="67" spans="1:9" ht="21.75" hidden="1" customHeight="1" x14ac:dyDescent="0.3">
      <c r="B67" s="227" t="s">
        <v>72</v>
      </c>
      <c r="C67" s="228">
        <v>7820</v>
      </c>
      <c r="D67" s="228"/>
      <c r="E67" s="228">
        <v>17630</v>
      </c>
      <c r="F67" s="413">
        <v>18620</v>
      </c>
      <c r="G67" s="414"/>
      <c r="H67" s="162"/>
      <c r="I67" s="162"/>
    </row>
    <row r="68" spans="1:9" ht="26.25" hidden="1" customHeight="1" thickBot="1" x14ac:dyDescent="0.35">
      <c r="B68" s="230" t="s">
        <v>73</v>
      </c>
      <c r="C68" s="231">
        <v>11730</v>
      </c>
      <c r="D68" s="231"/>
      <c r="E68" s="231">
        <v>26445</v>
      </c>
      <c r="F68" s="415">
        <v>27930</v>
      </c>
      <c r="G68" s="416"/>
      <c r="H68" s="162"/>
      <c r="I68" s="162"/>
    </row>
    <row r="69" spans="1:9" ht="4.5" customHeight="1" x14ac:dyDescent="0.3"/>
    <row r="70" spans="1:9" x14ac:dyDescent="0.3">
      <c r="A70" s="404" t="s">
        <v>74</v>
      </c>
      <c r="B70" s="404"/>
      <c r="C70" s="404"/>
      <c r="D70" s="404"/>
      <c r="E70" s="404"/>
      <c r="F70" s="404"/>
      <c r="G70" s="404"/>
      <c r="H70" s="404"/>
    </row>
    <row r="73" spans="1:9" x14ac:dyDescent="0.3">
      <c r="D73" s="233"/>
    </row>
  </sheetData>
  <sheetProtection sheet="1" objects="1" scenarios="1"/>
  <mergeCells count="44">
    <mergeCell ref="A70:H70"/>
    <mergeCell ref="G52:H52"/>
    <mergeCell ref="B64:G64"/>
    <mergeCell ref="C65:G65"/>
    <mergeCell ref="F66:G66"/>
    <mergeCell ref="F67:G67"/>
    <mergeCell ref="F68:G68"/>
    <mergeCell ref="J45:K45"/>
    <mergeCell ref="B46:C46"/>
    <mergeCell ref="G48:H48"/>
    <mergeCell ref="J48:K48"/>
    <mergeCell ref="B49:C49"/>
    <mergeCell ref="G51:H51"/>
    <mergeCell ref="B37:D37"/>
    <mergeCell ref="G39:H39"/>
    <mergeCell ref="B40:C40"/>
    <mergeCell ref="G42:H42"/>
    <mergeCell ref="B43:C43"/>
    <mergeCell ref="G45:H45"/>
    <mergeCell ref="B31:C31"/>
    <mergeCell ref="G33:H33"/>
    <mergeCell ref="J33:K33"/>
    <mergeCell ref="B34:C34"/>
    <mergeCell ref="G36:H36"/>
    <mergeCell ref="J36:K36"/>
    <mergeCell ref="B25:C25"/>
    <mergeCell ref="G27:H27"/>
    <mergeCell ref="J27:K27"/>
    <mergeCell ref="B28:C28"/>
    <mergeCell ref="G30:H30"/>
    <mergeCell ref="J30:K30"/>
    <mergeCell ref="B19:C19"/>
    <mergeCell ref="G21:H21"/>
    <mergeCell ref="J21:K21"/>
    <mergeCell ref="B22:C22"/>
    <mergeCell ref="G24:H24"/>
    <mergeCell ref="J24:K24"/>
    <mergeCell ref="G18:H18"/>
    <mergeCell ref="J18:K18"/>
    <mergeCell ref="A1:I1"/>
    <mergeCell ref="A2:I2"/>
    <mergeCell ref="G15:H15"/>
    <mergeCell ref="J15:K15"/>
    <mergeCell ref="B16:C16"/>
  </mergeCells>
  <printOptions horizontalCentered="1" verticalCentered="1"/>
  <pageMargins left="0.5" right="0.5" top="0.75" bottom="0.7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6"/>
  <sheetViews>
    <sheetView showGridLines="0" tabSelected="1" topLeftCell="D1" zoomScaleNormal="100" workbookViewId="0">
      <selection activeCell="K4" sqref="K4"/>
    </sheetView>
  </sheetViews>
  <sheetFormatPr defaultRowHeight="14.5" x14ac:dyDescent="0.35"/>
  <cols>
    <col min="1" max="1" width="19.453125" style="1" customWidth="1"/>
    <col min="2" max="10" width="16.7265625" customWidth="1"/>
  </cols>
  <sheetData>
    <row r="1" spans="1:14" ht="28.5" x14ac:dyDescent="0.65">
      <c r="A1" s="435" t="s">
        <v>399</v>
      </c>
      <c r="B1" s="435"/>
      <c r="C1" s="435"/>
      <c r="D1" s="435"/>
      <c r="E1" s="435"/>
      <c r="F1" s="435"/>
      <c r="G1" s="435"/>
      <c r="H1" s="435"/>
      <c r="I1" s="435"/>
      <c r="J1" s="435"/>
      <c r="K1" s="8"/>
      <c r="L1" s="8"/>
    </row>
    <row r="2" spans="1:14" ht="15" thickBot="1" x14ac:dyDescent="0.4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24.5" thickTop="1" thickBot="1" x14ac:dyDescent="0.6">
      <c r="A3" s="113"/>
      <c r="B3" s="417" t="s">
        <v>5</v>
      </c>
      <c r="C3" s="418"/>
      <c r="D3" s="419"/>
      <c r="E3" s="422" t="s">
        <v>15</v>
      </c>
      <c r="F3" s="422"/>
      <c r="G3" s="422"/>
      <c r="H3" s="422"/>
      <c r="I3" s="423" t="s">
        <v>6</v>
      </c>
      <c r="J3" s="424"/>
      <c r="K3" s="8"/>
      <c r="L3" s="8"/>
    </row>
    <row r="4" spans="1:14" ht="55" customHeight="1" thickBot="1" x14ac:dyDescent="0.4">
      <c r="A4" s="114"/>
      <c r="B4" s="27" t="s">
        <v>40</v>
      </c>
      <c r="C4" s="28" t="s">
        <v>25</v>
      </c>
      <c r="D4" s="29" t="s">
        <v>261</v>
      </c>
      <c r="E4" s="30" t="s">
        <v>3</v>
      </c>
      <c r="F4" s="28" t="s">
        <v>4</v>
      </c>
      <c r="G4" s="28" t="s">
        <v>24</v>
      </c>
      <c r="H4" s="30" t="s">
        <v>41</v>
      </c>
      <c r="I4" s="31" t="s">
        <v>43</v>
      </c>
      <c r="J4" s="29" t="s">
        <v>42</v>
      </c>
      <c r="K4" s="8"/>
      <c r="L4" s="8"/>
    </row>
    <row r="5" spans="1:14" ht="42.75" customHeight="1" thickBot="1" x14ac:dyDescent="0.4">
      <c r="A5" s="115" t="s">
        <v>7</v>
      </c>
      <c r="B5" s="427" t="s">
        <v>8</v>
      </c>
      <c r="C5" s="429"/>
      <c r="D5" s="428"/>
      <c r="E5" s="429" t="s">
        <v>8</v>
      </c>
      <c r="F5" s="429"/>
      <c r="G5" s="429"/>
      <c r="H5" s="429"/>
      <c r="I5" s="427" t="s">
        <v>9</v>
      </c>
      <c r="J5" s="428"/>
      <c r="K5" s="8"/>
      <c r="L5" s="8"/>
      <c r="M5" s="8"/>
    </row>
    <row r="6" spans="1:14" ht="48.75" customHeight="1" x14ac:dyDescent="0.35">
      <c r="A6" s="450" t="s">
        <v>10</v>
      </c>
      <c r="B6" s="447" t="s">
        <v>380</v>
      </c>
      <c r="C6" s="443"/>
      <c r="D6" s="448"/>
      <c r="E6" s="443" t="s">
        <v>400</v>
      </c>
      <c r="F6" s="445" t="s">
        <v>401</v>
      </c>
      <c r="G6" s="420" t="s">
        <v>403</v>
      </c>
      <c r="H6" s="421"/>
      <c r="I6" s="425" t="s">
        <v>405</v>
      </c>
      <c r="J6" s="426"/>
      <c r="K6" s="8"/>
      <c r="L6" s="8"/>
      <c r="M6" s="8"/>
      <c r="N6" s="8"/>
    </row>
    <row r="7" spans="1:14" ht="55" customHeight="1" thickBot="1" x14ac:dyDescent="0.4">
      <c r="A7" s="451"/>
      <c r="B7" s="439"/>
      <c r="C7" s="444"/>
      <c r="D7" s="449"/>
      <c r="E7" s="444"/>
      <c r="F7" s="446"/>
      <c r="G7" s="13" t="s">
        <v>402</v>
      </c>
      <c r="H7" s="18" t="s">
        <v>404</v>
      </c>
      <c r="I7" s="441" t="s">
        <v>404</v>
      </c>
      <c r="J7" s="442"/>
      <c r="K7" s="8"/>
      <c r="L7" s="8"/>
      <c r="M7" s="8"/>
      <c r="N7" s="8"/>
    </row>
    <row r="8" spans="1:14" ht="70.5" customHeight="1" thickBot="1" x14ac:dyDescent="0.4">
      <c r="A8" s="115" t="s">
        <v>32</v>
      </c>
      <c r="B8" s="16" t="s">
        <v>26</v>
      </c>
      <c r="C8" s="431" t="s">
        <v>27</v>
      </c>
      <c r="D8" s="428"/>
      <c r="E8" s="429" t="s">
        <v>44</v>
      </c>
      <c r="F8" s="429"/>
      <c r="G8" s="430"/>
      <c r="H8" s="14" t="s">
        <v>27</v>
      </c>
      <c r="I8" s="16" t="s">
        <v>44</v>
      </c>
      <c r="J8" s="17" t="s">
        <v>27</v>
      </c>
      <c r="K8" s="8"/>
      <c r="L8" s="8"/>
      <c r="M8" s="8"/>
      <c r="N8" s="8"/>
    </row>
    <row r="9" spans="1:14" ht="55" customHeight="1" thickBot="1" x14ac:dyDescent="0.4">
      <c r="A9" s="115" t="s">
        <v>39</v>
      </c>
      <c r="B9" s="427" t="s">
        <v>29</v>
      </c>
      <c r="C9" s="430"/>
      <c r="D9" s="17" t="s">
        <v>30</v>
      </c>
      <c r="E9" s="429" t="s">
        <v>29</v>
      </c>
      <c r="F9" s="429"/>
      <c r="G9" s="430"/>
      <c r="H9" s="14" t="s">
        <v>30</v>
      </c>
      <c r="I9" s="16" t="s">
        <v>29</v>
      </c>
      <c r="J9" s="17" t="s">
        <v>30</v>
      </c>
      <c r="K9" s="8"/>
      <c r="L9" s="8"/>
      <c r="M9" s="8"/>
      <c r="N9" s="8"/>
    </row>
    <row r="10" spans="1:14" ht="55" customHeight="1" thickBot="1" x14ac:dyDescent="0.4">
      <c r="A10" s="115" t="s">
        <v>11</v>
      </c>
      <c r="B10" s="427" t="s">
        <v>12</v>
      </c>
      <c r="C10" s="429"/>
      <c r="D10" s="428"/>
      <c r="E10" s="429" t="s">
        <v>20</v>
      </c>
      <c r="F10" s="430"/>
      <c r="G10" s="431" t="s">
        <v>13</v>
      </c>
      <c r="H10" s="429"/>
      <c r="I10" s="427" t="s">
        <v>28</v>
      </c>
      <c r="J10" s="428"/>
      <c r="K10" s="8"/>
      <c r="L10" s="8"/>
      <c r="M10" s="8"/>
      <c r="N10" s="8"/>
    </row>
    <row r="11" spans="1:14" ht="62.25" customHeight="1" thickBot="1" x14ac:dyDescent="0.4">
      <c r="A11" s="116" t="s">
        <v>19</v>
      </c>
      <c r="B11" s="23" t="s">
        <v>262</v>
      </c>
      <c r="C11" s="12">
        <v>0</v>
      </c>
      <c r="D11" s="24">
        <v>0</v>
      </c>
      <c r="E11" s="22">
        <v>0</v>
      </c>
      <c r="F11" s="15">
        <v>0</v>
      </c>
      <c r="G11" s="15">
        <v>0</v>
      </c>
      <c r="H11" s="19">
        <v>0</v>
      </c>
      <c r="I11" s="20">
        <v>0</v>
      </c>
      <c r="J11" s="21">
        <v>0</v>
      </c>
      <c r="K11" s="8"/>
      <c r="L11" s="8"/>
    </row>
    <row r="12" spans="1:14" ht="55.5" customHeight="1" thickBot="1" x14ac:dyDescent="0.4">
      <c r="A12" s="116" t="s">
        <v>14</v>
      </c>
      <c r="B12" s="439" t="s">
        <v>33</v>
      </c>
      <c r="C12" s="440"/>
      <c r="D12" s="25" t="s">
        <v>21</v>
      </c>
      <c r="E12" s="427" t="s">
        <v>33</v>
      </c>
      <c r="F12" s="429"/>
      <c r="G12" s="429"/>
      <c r="H12" s="428"/>
      <c r="I12" s="427" t="s">
        <v>33</v>
      </c>
      <c r="J12" s="428"/>
      <c r="K12" s="8"/>
      <c r="L12" s="8"/>
    </row>
    <row r="13" spans="1:14" ht="66.75" customHeight="1" thickBot="1" x14ac:dyDescent="0.4">
      <c r="A13" s="115" t="s">
        <v>18</v>
      </c>
      <c r="B13" s="438" t="s">
        <v>23</v>
      </c>
      <c r="C13" s="452"/>
      <c r="D13" s="437"/>
      <c r="E13" s="26" t="s">
        <v>34</v>
      </c>
      <c r="F13" s="11" t="s">
        <v>22</v>
      </c>
      <c r="G13" s="436" t="s">
        <v>23</v>
      </c>
      <c r="H13" s="437"/>
      <c r="I13" s="438" t="s">
        <v>23</v>
      </c>
      <c r="J13" s="437"/>
      <c r="K13" s="8"/>
      <c r="L13" s="8"/>
    </row>
    <row r="14" spans="1:14" ht="48.75" customHeight="1" thickBot="1" x14ac:dyDescent="0.4">
      <c r="A14" s="115" t="s">
        <v>16</v>
      </c>
      <c r="B14" s="427" t="s">
        <v>35</v>
      </c>
      <c r="C14" s="429"/>
      <c r="D14" s="428"/>
      <c r="E14" s="427" t="s">
        <v>17</v>
      </c>
      <c r="F14" s="429"/>
      <c r="G14" s="429"/>
      <c r="H14" s="428"/>
      <c r="I14" s="427" t="s">
        <v>36</v>
      </c>
      <c r="J14" s="428"/>
      <c r="K14" s="8"/>
      <c r="L14" s="8"/>
    </row>
    <row r="15" spans="1:14" ht="50.25" customHeight="1" thickBot="1" x14ac:dyDescent="0.4">
      <c r="A15" s="117" t="s">
        <v>31</v>
      </c>
      <c r="B15" s="432" t="s">
        <v>37</v>
      </c>
      <c r="C15" s="433"/>
      <c r="D15" s="434"/>
      <c r="E15" s="432" t="s">
        <v>38</v>
      </c>
      <c r="F15" s="433"/>
      <c r="G15" s="433"/>
      <c r="H15" s="434"/>
      <c r="I15" s="432" t="s">
        <v>37</v>
      </c>
      <c r="J15" s="434"/>
      <c r="K15" s="8"/>
      <c r="L15" s="8"/>
    </row>
    <row r="16" spans="1:14" ht="15" thickTop="1" x14ac:dyDescent="0.35"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34">
    <mergeCell ref="A1:J1"/>
    <mergeCell ref="E5:H5"/>
    <mergeCell ref="I12:J12"/>
    <mergeCell ref="E12:H12"/>
    <mergeCell ref="G13:H13"/>
    <mergeCell ref="I13:J13"/>
    <mergeCell ref="B12:C12"/>
    <mergeCell ref="I7:J7"/>
    <mergeCell ref="E6:E7"/>
    <mergeCell ref="F6:F7"/>
    <mergeCell ref="C8:D8"/>
    <mergeCell ref="B6:D7"/>
    <mergeCell ref="A6:A7"/>
    <mergeCell ref="I10:J10"/>
    <mergeCell ref="B13:D13"/>
    <mergeCell ref="B10:D10"/>
    <mergeCell ref="B14:D14"/>
    <mergeCell ref="E14:H14"/>
    <mergeCell ref="I14:J14"/>
    <mergeCell ref="B15:D15"/>
    <mergeCell ref="E15:H15"/>
    <mergeCell ref="I15:J15"/>
    <mergeCell ref="B9:C9"/>
    <mergeCell ref="E9:G9"/>
    <mergeCell ref="E8:G8"/>
    <mergeCell ref="E10:F10"/>
    <mergeCell ref="G10:H10"/>
    <mergeCell ref="B3:D3"/>
    <mergeCell ref="G6:H6"/>
    <mergeCell ref="E3:H3"/>
    <mergeCell ref="I3:J3"/>
    <mergeCell ref="I6:J6"/>
    <mergeCell ref="I5:J5"/>
    <mergeCell ref="B5:D5"/>
  </mergeCells>
  <pageMargins left="0.7" right="0.7" top="0.75" bottom="0.75" header="0.3" footer="0.3"/>
  <pageSetup scale="68" orientation="landscape" r:id="rId1"/>
  <colBreaks count="2" manualBreakCount="2">
    <brk id="4" max="1048575" man="1"/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Quarterly Cash Flow - Example</vt:lpstr>
      <vt:lpstr>Quarterly Cash Flow - Blank</vt:lpstr>
      <vt:lpstr>Monthly Cash Flow - Blank</vt:lpstr>
      <vt:lpstr>Cash to Accrual</vt:lpstr>
      <vt:lpstr>Ratio Calculator</vt:lpstr>
      <vt:lpstr>Blank Monthly Budget Builder</vt:lpstr>
      <vt:lpstr>Expense Tracker</vt:lpstr>
      <vt:lpstr>Retirement Planning Worksheet</vt:lpstr>
      <vt:lpstr>Types of Accounts</vt:lpstr>
      <vt:lpstr>Asset Allocation Worksheet</vt:lpstr>
      <vt:lpstr>Retirement Planning Wks - blank</vt:lpstr>
      <vt:lpstr>'Asset Allocation Worksheet'!Print_Area</vt:lpstr>
      <vt:lpstr>'Blank Monthly Budget Builder'!Print_Area</vt:lpstr>
      <vt:lpstr>'Expense Tracker'!Print_Area</vt:lpstr>
      <vt:lpstr>'Monthly Cash Flow - Blank'!Print_Area</vt:lpstr>
      <vt:lpstr>'Quarterly Cash Flow - Blank'!Print_Area</vt:lpstr>
      <vt:lpstr>'Quarterly Cash Flow - Example'!Print_Area</vt:lpstr>
      <vt:lpstr>'Retirement Planning Wks - blank'!Print_Area</vt:lpstr>
      <vt:lpstr>'Retirement Planning Worksheet'!Print_Area</vt:lpstr>
      <vt:lpstr>'Types of Accounts'!Print_Area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White</dc:creator>
  <cp:lastModifiedBy>White, Alex</cp:lastModifiedBy>
  <cp:lastPrinted>2020-10-05T18:05:43Z</cp:lastPrinted>
  <dcterms:created xsi:type="dcterms:W3CDTF">2018-06-27T13:31:15Z</dcterms:created>
  <dcterms:modified xsi:type="dcterms:W3CDTF">2021-12-01T22:42:17Z</dcterms:modified>
</cp:coreProperties>
</file>